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_Throwaway/"/>
    </mc:Choice>
  </mc:AlternateContent>
  <xr:revisionPtr revIDLastSave="0" documentId="8_{901EB61B-A7CF-424C-965D-D31F83BE1A1E}" xr6:coauthVersionLast="47" xr6:coauthVersionMax="47" xr10:uidLastSave="{00000000-0000-0000-0000-000000000000}"/>
  <bookViews>
    <workbookView xWindow="-98" yWindow="-98" windowWidth="21795" windowHeight="13875" tabRatio="879" firstSheet="2" activeTab="2" xr2:uid="{00000000-000D-0000-FFFF-FFFF00000000}"/>
  </bookViews>
  <sheets>
    <sheet name="Home" sheetId="52" r:id="rId1"/>
    <sheet name="Players" sheetId="44"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Table!$A$1:$S$51</definedName>
    <definedName name="_xlnm._FilterDatabase" localSheetId="3" hidden="1">Weekly!$A$1:$BX$52</definedName>
    <definedName name="all_scores" localSheetId="2">Weekly!#REF!</definedName>
    <definedName name="all_scores">Weekly!#REF!</definedName>
    <definedName name="choices">Odds!$G$2:$G$140</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Picks!$A$1:$N$133</definedName>
    <definedName name="_xlnm.Print_Area" localSheetId="14">Predictions!$A$1:$G$133</definedName>
    <definedName name="_xlnm.Print_Area" localSheetId="18">Prizelist!$A$1:$B$28</definedName>
    <definedName name="_xlnm.Print_Area" localSheetId="4">Results!$I$1:$W$45</definedName>
    <definedName name="_xlnm.Print_Area" localSheetId="2">Table!$A$1:$J$51</definedName>
    <definedName name="_xlnm.Print_Area" localSheetId="3">Weekly!$A$1:$M$12</definedName>
    <definedName name="_xlnm.Print_Area" localSheetId="13">'What-If'!$A$1:$R$7</definedName>
    <definedName name="SeasonTitle">Images!$D$1</definedName>
    <definedName name="thisweekscore">Weekly!$H$2:$H$45</definedName>
    <definedName name="TopMaxScores">Picks!$AJ$2:$AJ$47</definedName>
    <definedName name="TopScores">Picks!$AE$2:$AE$47</definedName>
    <definedName name="totalscores">Weekly!$F$2:$F$45</definedName>
    <definedName name="twentysixth">Prizelist!#REF!</definedName>
  </definedNames>
  <calcPr calcId="191029"/>
  <pivotCaches>
    <pivotCache cacheId="2" r:id="rId23"/>
    <pivotCache cacheId="8" r:id="rId24"/>
    <pivotCache cacheId="13"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5" i="13" l="1"/>
  <c r="S63" i="13"/>
  <c r="S61" i="13"/>
  <c r="S59" i="13"/>
  <c r="S57" i="13"/>
  <c r="S55" i="13"/>
  <c r="S53" i="13"/>
  <c r="S51" i="13"/>
  <c r="S49" i="13"/>
  <c r="S47" i="13"/>
  <c r="S45" i="13"/>
  <c r="S43" i="13"/>
  <c r="S41" i="13"/>
  <c r="S39" i="13"/>
  <c r="S37" i="13"/>
  <c r="S35" i="13"/>
  <c r="S33" i="13"/>
  <c r="S31" i="13"/>
  <c r="AK47" i="5"/>
  <c r="AF24" i="5"/>
  <c r="BX47" i="2"/>
  <c r="BW47" i="2"/>
  <c r="BV47" i="2"/>
  <c r="J47" i="2"/>
  <c r="G47" i="2"/>
  <c r="J46" i="22" s="1"/>
  <c r="F47" i="2"/>
  <c r="D47" i="2"/>
  <c r="B47" i="2"/>
  <c r="O47" i="22"/>
  <c r="M47" i="22"/>
  <c r="L46" i="22"/>
  <c r="K46" i="22"/>
  <c r="AJ47" i="1"/>
  <c r="B137" i="1"/>
  <c r="A137" i="5"/>
  <c r="I47" i="1"/>
  <c r="B139" i="5"/>
  <c r="C139" i="1" s="1"/>
  <c r="B138" i="5"/>
  <c r="C138" i="1" s="1"/>
  <c r="B137" i="5"/>
  <c r="C137" i="1" s="1"/>
  <c r="B35" i="5"/>
  <c r="AK18" i="5"/>
  <c r="AF34" i="5"/>
  <c r="AB136" i="5"/>
  <c r="B136" i="5"/>
  <c r="C136" i="1" s="1"/>
  <c r="AB135" i="5"/>
  <c r="B135" i="5"/>
  <c r="C135" i="1" s="1"/>
  <c r="AB134" i="5"/>
  <c r="B134" i="5"/>
  <c r="C134" i="1" s="1"/>
  <c r="A134" i="5"/>
  <c r="A136" i="5" s="1"/>
  <c r="AC136" i="5" s="1"/>
  <c r="AJ46" i="1"/>
  <c r="I46" i="1"/>
  <c r="B134" i="1"/>
  <c r="BX46" i="2"/>
  <c r="BW46" i="2"/>
  <c r="BV46" i="2"/>
  <c r="J46" i="2"/>
  <c r="G46" i="2"/>
  <c r="J45" i="22" s="1"/>
  <c r="F46" i="2"/>
  <c r="I45" i="22" s="1"/>
  <c r="D46" i="2"/>
  <c r="B46" i="2"/>
  <c r="O46" i="22"/>
  <c r="M46" i="22"/>
  <c r="L45" i="22"/>
  <c r="K45" i="22"/>
  <c r="I46" i="22" l="1"/>
  <c r="A138" i="5"/>
  <c r="H137" i="5"/>
  <c r="A139" i="5"/>
  <c r="AC134" i="5"/>
  <c r="A135" i="5"/>
  <c r="AC135" i="5" s="1"/>
  <c r="H134" i="5"/>
  <c r="P65" i="13" l="1"/>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6" i="13"/>
  <c r="P25" i="13"/>
  <c r="P24" i="13"/>
  <c r="P23" i="13"/>
  <c r="P22" i="13"/>
  <c r="P21" i="13"/>
  <c r="P20" i="13"/>
  <c r="P19" i="13"/>
  <c r="P18" i="13"/>
  <c r="P17" i="13"/>
  <c r="P16" i="13"/>
  <c r="P15" i="13"/>
  <c r="P14" i="13"/>
  <c r="P13" i="13"/>
  <c r="P12" i="13"/>
  <c r="P11" i="13"/>
  <c r="P10" i="13"/>
  <c r="P9" i="13"/>
  <c r="P8" i="13"/>
  <c r="P7" i="13"/>
  <c r="P6" i="13"/>
  <c r="P5" i="13"/>
  <c r="P4" i="13"/>
  <c r="P3" i="13"/>
  <c r="P2" i="13"/>
  <c r="K3" i="34" l="1"/>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B15" i="23"/>
  <c r="J39" i="25"/>
  <c r="J38" i="25"/>
  <c r="J37" i="25"/>
  <c r="J36" i="25"/>
  <c r="I43" i="25"/>
  <c r="I42" i="25"/>
  <c r="I41" i="25"/>
  <c r="I40" i="25"/>
  <c r="I39" i="25"/>
  <c r="I38" i="25"/>
  <c r="I37" i="25"/>
  <c r="I66" i="25"/>
  <c r="I65" i="25"/>
  <c r="I64" i="25"/>
  <c r="I63" i="25"/>
  <c r="I62" i="25"/>
  <c r="I61" i="25"/>
  <c r="I60" i="25"/>
  <c r="I59" i="25"/>
  <c r="I58" i="25"/>
  <c r="I57" i="25"/>
  <c r="I56" i="25"/>
  <c r="I55" i="25"/>
  <c r="I54" i="25"/>
  <c r="I53" i="25"/>
  <c r="I52" i="25"/>
  <c r="I51" i="25"/>
  <c r="I50" i="25"/>
  <c r="I49" i="25"/>
  <c r="I48" i="25"/>
  <c r="I47" i="25"/>
  <c r="I46" i="25"/>
  <c r="I45" i="25"/>
  <c r="I44" i="25"/>
  <c r="N47" i="22" l="1"/>
  <c r="N46" i="22"/>
  <c r="T22" i="25"/>
  <c r="N38" i="25"/>
  <c r="B23" i="10"/>
  <c r="B2" i="13" l="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K134" i="3" s="1"/>
  <c r="P43" i="7"/>
  <c r="K135" i="3" s="1"/>
  <c r="P44" i="7"/>
  <c r="K136" i="3" s="1"/>
  <c r="P45" i="7"/>
  <c r="K137" i="3" s="1"/>
  <c r="P46" i="7"/>
  <c r="K138" i="3" s="1"/>
  <c r="A1" i="23"/>
  <c r="B130" i="5" l="1"/>
  <c r="AU1" i="13"/>
  <c r="AK2" i="25" s="1"/>
  <c r="AO1" i="13"/>
  <c r="AF2" i="25" s="1"/>
  <c r="AI1" i="13"/>
  <c r="AA2" i="25" s="1"/>
  <c r="AC1" i="13"/>
  <c r="V2" i="25" s="1"/>
  <c r="W1" i="13"/>
  <c r="P2" i="25" s="1"/>
  <c r="Q1" i="13"/>
  <c r="J2" i="25" s="1"/>
  <c r="K1" i="13"/>
  <c r="I8" i="1" l="1"/>
  <c r="B1" i="23"/>
  <c r="AF6" i="25" l="1"/>
  <c r="AF5" i="25"/>
  <c r="AF4" i="25"/>
  <c r="AF3" i="25"/>
  <c r="BU49" i="2"/>
  <c r="BR49" i="2"/>
  <c r="BO49" i="2"/>
  <c r="BL49" i="2"/>
  <c r="BI49" i="2"/>
  <c r="BF49" i="2"/>
  <c r="BC49" i="2"/>
  <c r="AZ49" i="2"/>
  <c r="AW49" i="2"/>
  <c r="AT49" i="2"/>
  <c r="AQ49" i="2"/>
  <c r="AN49" i="2"/>
  <c r="AK49" i="2"/>
  <c r="AH49" i="2"/>
  <c r="AE49" i="2"/>
  <c r="AB49" i="2"/>
  <c r="Y49" i="2"/>
  <c r="V49" i="2"/>
  <c r="S49" i="2"/>
  <c r="P49" i="2"/>
  <c r="K49"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11" i="5" l="1"/>
  <c r="AF10" i="5"/>
  <c r="AF15" i="5"/>
  <c r="B3" i="9" l="1"/>
  <c r="K41" i="6" l="1"/>
  <c r="K34" i="6"/>
  <c r="B13" i="6"/>
  <c r="B20" i="6" s="1"/>
  <c r="B27" i="6" s="1"/>
  <c r="B34" i="6" s="1"/>
  <c r="B41" i="6" s="1"/>
  <c r="B12" i="6"/>
  <c r="B19" i="6" s="1"/>
  <c r="B26" i="6" s="1"/>
  <c r="B33" i="6" s="1"/>
  <c r="B40" i="6" s="1"/>
  <c r="B11" i="6"/>
  <c r="B18" i="6" s="1"/>
  <c r="B25" i="6" s="1"/>
  <c r="B32" i="6" s="1"/>
  <c r="B39" i="6" s="1"/>
  <c r="E7" i="6"/>
  <c r="B120" i="5"/>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K139" i="3" s="1"/>
  <c r="L41" i="6" l="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A23" i="5" s="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L44" i="22"/>
  <c r="K44"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AK42" i="5"/>
  <c r="AF45" i="5"/>
  <c r="AF27" i="5"/>
  <c r="B3" i="6"/>
  <c r="BX49"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45" i="3" l="1"/>
  <c r="K44" i="3"/>
  <c r="K89"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53" i="3"/>
  <c r="K68" i="3"/>
  <c r="K85" i="3"/>
  <c r="K100" i="3"/>
  <c r="K43" i="3"/>
  <c r="K54" i="3"/>
  <c r="K69" i="3"/>
  <c r="K86" i="3"/>
  <c r="K101"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29" i="5" l="1"/>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AB148" i="5"/>
  <c r="AB147" i="5"/>
  <c r="AB146" i="5"/>
  <c r="AB145" i="5"/>
  <c r="AB144" i="5"/>
  <c r="AB143" i="5"/>
  <c r="AB142" i="5"/>
  <c r="AB141" i="5"/>
  <c r="AB140" i="5"/>
  <c r="AB139" i="5"/>
  <c r="AB138" i="5"/>
  <c r="AB137" i="5"/>
  <c r="B5" i="5" l="1"/>
  <c r="B6" i="5"/>
  <c r="B7" i="5"/>
  <c r="S19" i="34" l="1"/>
  <c r="A1" i="22" l="1"/>
  <c r="S20" i="34"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K23" i="25" s="1"/>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A131" i="5"/>
  <c r="A128" i="5"/>
  <c r="A127" i="5"/>
  <c r="AC127" i="5" s="1"/>
  <c r="A122" i="5"/>
  <c r="A119" i="5"/>
  <c r="A116" i="5"/>
  <c r="A113" i="5"/>
  <c r="A110" i="5"/>
  <c r="A107" i="5"/>
  <c r="A104" i="5"/>
  <c r="A101" i="5"/>
  <c r="A98" i="5"/>
  <c r="A95" i="5"/>
  <c r="A92" i="5"/>
  <c r="A89" i="5"/>
  <c r="A88" i="5"/>
  <c r="AC88" i="5" s="1"/>
  <c r="A83" i="5"/>
  <c r="A80" i="5"/>
  <c r="A77" i="5"/>
  <c r="A74" i="5"/>
  <c r="A71" i="5"/>
  <c r="A68" i="5"/>
  <c r="A65" i="5"/>
  <c r="A62" i="5"/>
  <c r="A59" i="5"/>
  <c r="A56" i="5"/>
  <c r="A53" i="5"/>
  <c r="A50" i="5"/>
  <c r="A47" i="5"/>
  <c r="A44" i="5"/>
  <c r="A41" i="5"/>
  <c r="A38" i="24"/>
  <c r="C35" i="1"/>
  <c r="A35" i="5"/>
  <c r="A32" i="5"/>
  <c r="A29" i="5"/>
  <c r="A26" i="5"/>
  <c r="A20" i="5"/>
  <c r="A17" i="5"/>
  <c r="A19" i="5" s="1"/>
  <c r="A14" i="5"/>
  <c r="B11" i="1"/>
  <c r="A11" i="5" s="1"/>
  <c r="B8" i="1"/>
  <c r="A8" i="5" s="1"/>
  <c r="B5" i="1"/>
  <c r="A5" i="5" s="1"/>
  <c r="AJ2" i="1"/>
  <c r="B2" i="1"/>
  <c r="A2" i="5"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19" i="5"/>
  <c r="B65" i="5"/>
  <c r="C65" i="1" s="1"/>
  <c r="B64" i="5"/>
  <c r="C64" i="1" s="1"/>
  <c r="AK19" i="5"/>
  <c r="B63" i="5"/>
  <c r="C63" i="1" s="1"/>
  <c r="AK7" i="5"/>
  <c r="AF28" i="5"/>
  <c r="B62" i="5"/>
  <c r="C62" i="1" s="1"/>
  <c r="AF29" i="5"/>
  <c r="B61" i="5"/>
  <c r="C61" i="1" s="1"/>
  <c r="B60" i="5"/>
  <c r="C60" i="1" s="1"/>
  <c r="AK38" i="5"/>
  <c r="AF4" i="5"/>
  <c r="B59" i="5"/>
  <c r="C59" i="1" s="1"/>
  <c r="AK25" i="5"/>
  <c r="B58" i="5"/>
  <c r="C58" i="1" s="1"/>
  <c r="AK14" i="5"/>
  <c r="B57" i="5"/>
  <c r="C57" i="1" s="1"/>
  <c r="B56" i="5"/>
  <c r="C56" i="1" s="1"/>
  <c r="AF14" i="5"/>
  <c r="B55" i="5"/>
  <c r="C55" i="1" s="1"/>
  <c r="AK17" i="5"/>
  <c r="B54" i="5"/>
  <c r="C54" i="1" s="1"/>
  <c r="AK23" i="5"/>
  <c r="B53" i="5"/>
  <c r="C53" i="1" s="1"/>
  <c r="AK10" i="5"/>
  <c r="B52" i="5"/>
  <c r="C52" i="1" s="1"/>
  <c r="AF26" i="5"/>
  <c r="B51" i="5"/>
  <c r="C51" i="1" s="1"/>
  <c r="AK33" i="5"/>
  <c r="B50" i="5"/>
  <c r="C50" i="1" s="1"/>
  <c r="AF2" i="5"/>
  <c r="B49" i="5"/>
  <c r="C49" i="1" s="1"/>
  <c r="AK15" i="5"/>
  <c r="AF9" i="5"/>
  <c r="B48" i="5"/>
  <c r="C48" i="1" s="1"/>
  <c r="AF25" i="5"/>
  <c r="B47" i="5"/>
  <c r="C47" i="1" s="1"/>
  <c r="AK31" i="5"/>
  <c r="AF39" i="5"/>
  <c r="B46" i="5"/>
  <c r="C46" i="1" s="1"/>
  <c r="AK20" i="5"/>
  <c r="AF42" i="5"/>
  <c r="B45" i="5"/>
  <c r="C45" i="1" s="1"/>
  <c r="AK4" i="5"/>
  <c r="AF21" i="5"/>
  <c r="B44" i="5"/>
  <c r="C44" i="1" s="1"/>
  <c r="AK13" i="5"/>
  <c r="B43" i="5"/>
  <c r="C43" i="1" s="1"/>
  <c r="AK3" i="5"/>
  <c r="AF32" i="5"/>
  <c r="B42" i="5"/>
  <c r="C42" i="1" s="1"/>
  <c r="AF37" i="5"/>
  <c r="B41" i="5"/>
  <c r="C41" i="1" s="1"/>
  <c r="AK46" i="5"/>
  <c r="C40" i="1"/>
  <c r="AK40" i="5"/>
  <c r="AF16" i="5"/>
  <c r="C39" i="1"/>
  <c r="AK45" i="5"/>
  <c r="AF41" i="5"/>
  <c r="C38" i="1"/>
  <c r="AK22" i="5"/>
  <c r="C37" i="1"/>
  <c r="AF47" i="5"/>
  <c r="B36" i="5"/>
  <c r="C36" i="1" s="1"/>
  <c r="AK24" i="5"/>
  <c r="AF13" i="5"/>
  <c r="AF5" i="5"/>
  <c r="B34" i="5"/>
  <c r="C34" i="1" s="1"/>
  <c r="AK44" i="5"/>
  <c r="AF40" i="5"/>
  <c r="B33" i="5"/>
  <c r="C33" i="1" s="1"/>
  <c r="AK27" i="5"/>
  <c r="AF11" i="5"/>
  <c r="B32" i="5"/>
  <c r="C32" i="1" s="1"/>
  <c r="AF35" i="5"/>
  <c r="B31" i="5"/>
  <c r="C31" i="1" s="1"/>
  <c r="B30" i="5"/>
  <c r="C30" i="1" s="1"/>
  <c r="AK35" i="5"/>
  <c r="AF36" i="5"/>
  <c r="B29" i="5"/>
  <c r="C29" i="1" s="1"/>
  <c r="B28" i="5"/>
  <c r="C28" i="1" s="1"/>
  <c r="AK12" i="5"/>
  <c r="AF33" i="5"/>
  <c r="B27" i="5"/>
  <c r="C27" i="1" s="1"/>
  <c r="AK6" i="5"/>
  <c r="B26" i="5"/>
  <c r="C26" i="1" s="1"/>
  <c r="AK16" i="5"/>
  <c r="AF18" i="5"/>
  <c r="B25" i="5"/>
  <c r="C25" i="1" s="1"/>
  <c r="AF7" i="5"/>
  <c r="B24" i="5"/>
  <c r="C24" i="1" s="1"/>
  <c r="AK39" i="5"/>
  <c r="B23" i="5"/>
  <c r="C23" i="1" s="1"/>
  <c r="AK5" i="5"/>
  <c r="B22" i="5"/>
  <c r="C22" i="1" s="1"/>
  <c r="AF38" i="5"/>
  <c r="B21" i="5"/>
  <c r="C21" i="1" s="1"/>
  <c r="AK34" i="5"/>
  <c r="B20" i="5"/>
  <c r="C20" i="1" s="1"/>
  <c r="AK29" i="5"/>
  <c r="AF12" i="5"/>
  <c r="B19" i="5"/>
  <c r="C19" i="1" s="1"/>
  <c r="AK30" i="5"/>
  <c r="B18" i="5"/>
  <c r="C18" i="1" s="1"/>
  <c r="B17" i="5"/>
  <c r="C17" i="1" s="1"/>
  <c r="AF43" i="5"/>
  <c r="B16" i="5"/>
  <c r="C16" i="1" s="1"/>
  <c r="AF30" i="5"/>
  <c r="B15" i="5"/>
  <c r="C15" i="1" s="1"/>
  <c r="AF22" i="5"/>
  <c r="B14" i="5"/>
  <c r="C14" i="1" s="1"/>
  <c r="AK36" i="5"/>
  <c r="AF8" i="5"/>
  <c r="B13" i="5"/>
  <c r="C13" i="1" s="1"/>
  <c r="AK8" i="5"/>
  <c r="AF20" i="5"/>
  <c r="C12" i="1"/>
  <c r="AK28" i="5"/>
  <c r="AF6" i="5"/>
  <c r="C11" i="1"/>
  <c r="AK37" i="5"/>
  <c r="B10" i="5"/>
  <c r="C10" i="1" s="1"/>
  <c r="AK43" i="5"/>
  <c r="AF31" i="5"/>
  <c r="B9" i="5"/>
  <c r="C9" i="1" s="1"/>
  <c r="AK21" i="5"/>
  <c r="B8" i="5"/>
  <c r="AF3" i="5"/>
  <c r="C7" i="1"/>
  <c r="AK26" i="5"/>
  <c r="C6" i="1"/>
  <c r="AK9" i="5"/>
  <c r="AF44" i="5"/>
  <c r="C5" i="1"/>
  <c r="AK32" i="5"/>
  <c r="AF23" i="5"/>
  <c r="C4" i="1"/>
  <c r="AK41" i="5"/>
  <c r="AF46" i="5"/>
  <c r="C3" i="1"/>
  <c r="AK2" i="5"/>
  <c r="AF17"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E66" i="25"/>
  <c r="D66" i="25"/>
  <c r="C66" i="25"/>
  <c r="AD3" i="25"/>
  <c r="J65" i="25"/>
  <c r="H65" i="25"/>
  <c r="E65" i="25"/>
  <c r="D65" i="25"/>
  <c r="C65" i="25"/>
  <c r="B65" i="25"/>
  <c r="AD2" i="25"/>
  <c r="K64" i="25"/>
  <c r="J64" i="25"/>
  <c r="E64" i="25"/>
  <c r="D64" i="25"/>
  <c r="C64" i="25"/>
  <c r="J63" i="25"/>
  <c r="H63" i="25"/>
  <c r="E63" i="25"/>
  <c r="D63" i="25"/>
  <c r="C63" i="25"/>
  <c r="B63" i="25"/>
  <c r="K62" i="25"/>
  <c r="J62" i="25"/>
  <c r="E62" i="25"/>
  <c r="D62" i="25"/>
  <c r="C62" i="25"/>
  <c r="J61" i="25"/>
  <c r="H61" i="25"/>
  <c r="E61" i="25"/>
  <c r="D61" i="25"/>
  <c r="C61" i="25"/>
  <c r="B61" i="25"/>
  <c r="K60" i="25"/>
  <c r="J60" i="25"/>
  <c r="E60" i="25"/>
  <c r="D60" i="25"/>
  <c r="C60" i="25"/>
  <c r="J59" i="25"/>
  <c r="H59" i="25"/>
  <c r="E59" i="25"/>
  <c r="D59" i="25"/>
  <c r="C59" i="25"/>
  <c r="B59" i="25"/>
  <c r="AB21" i="25"/>
  <c r="AA21" i="25"/>
  <c r="Z21" i="25"/>
  <c r="K58" i="25"/>
  <c r="J58" i="25"/>
  <c r="E58" i="25"/>
  <c r="D58" i="25"/>
  <c r="C58" i="25"/>
  <c r="AB20" i="25"/>
  <c r="AA20" i="25"/>
  <c r="Z20" i="25"/>
  <c r="J57" i="25"/>
  <c r="H57" i="25"/>
  <c r="E57" i="25"/>
  <c r="D57" i="25"/>
  <c r="C57" i="25"/>
  <c r="B57" i="25"/>
  <c r="AB19" i="25"/>
  <c r="AA19" i="25"/>
  <c r="Z19" i="25"/>
  <c r="K56" i="25"/>
  <c r="J56" i="25"/>
  <c r="E56" i="25"/>
  <c r="D56" i="25"/>
  <c r="C56" i="25"/>
  <c r="AA18" i="25"/>
  <c r="Z18" i="25"/>
  <c r="J55" i="25"/>
  <c r="H55" i="25"/>
  <c r="E55" i="25"/>
  <c r="D55" i="25"/>
  <c r="C55" i="25"/>
  <c r="B55" i="25"/>
  <c r="AB17" i="25"/>
  <c r="AA17" i="25"/>
  <c r="Z17" i="25"/>
  <c r="K54" i="25"/>
  <c r="J54" i="25"/>
  <c r="E54" i="25"/>
  <c r="D54" i="25"/>
  <c r="C54" i="25"/>
  <c r="AB16" i="25"/>
  <c r="AA16" i="25"/>
  <c r="Z16" i="25"/>
  <c r="J53" i="25"/>
  <c r="H53" i="25"/>
  <c r="E53" i="25"/>
  <c r="D53" i="25"/>
  <c r="C53" i="25"/>
  <c r="B53" i="25"/>
  <c r="AB15" i="25"/>
  <c r="AA15" i="25"/>
  <c r="Z15" i="25"/>
  <c r="K52" i="25"/>
  <c r="J52" i="25"/>
  <c r="E52" i="25"/>
  <c r="D52" i="25"/>
  <c r="C52" i="25"/>
  <c r="AB14" i="25"/>
  <c r="AA14" i="25"/>
  <c r="Z14" i="25"/>
  <c r="J51" i="25"/>
  <c r="H51" i="25"/>
  <c r="E51" i="25"/>
  <c r="D51" i="25"/>
  <c r="C51" i="25"/>
  <c r="B51" i="25"/>
  <c r="K50" i="25"/>
  <c r="J50" i="25"/>
  <c r="E50" i="25"/>
  <c r="D50" i="25"/>
  <c r="C50" i="25"/>
  <c r="J49" i="25"/>
  <c r="H49" i="25"/>
  <c r="E49" i="25"/>
  <c r="D49" i="25"/>
  <c r="C49" i="25"/>
  <c r="B49" i="25"/>
  <c r="Q48" i="25"/>
  <c r="P48" i="25"/>
  <c r="O48" i="25"/>
  <c r="K48" i="25"/>
  <c r="J48" i="25"/>
  <c r="E48" i="25"/>
  <c r="D48" i="25"/>
  <c r="C48" i="25"/>
  <c r="AB10" i="25"/>
  <c r="Q47" i="25"/>
  <c r="P47" i="25"/>
  <c r="O47" i="25"/>
  <c r="J47" i="25"/>
  <c r="H47" i="25"/>
  <c r="E47" i="25"/>
  <c r="D47" i="25"/>
  <c r="C47" i="25"/>
  <c r="B47" i="25"/>
  <c r="Y9" i="25"/>
  <c r="Q46" i="25"/>
  <c r="P46" i="25"/>
  <c r="O46" i="25"/>
  <c r="K46" i="25"/>
  <c r="J46" i="25"/>
  <c r="E46" i="25"/>
  <c r="D46" i="25"/>
  <c r="C46" i="25"/>
  <c r="AB8" i="25"/>
  <c r="Q45" i="25"/>
  <c r="P45" i="25"/>
  <c r="O45" i="25"/>
  <c r="J45" i="25"/>
  <c r="H45" i="25"/>
  <c r="E45" i="25"/>
  <c r="D45" i="25"/>
  <c r="C45" i="25"/>
  <c r="B45" i="25"/>
  <c r="Y7" i="25"/>
  <c r="Q44" i="25"/>
  <c r="P44" i="25"/>
  <c r="O44" i="25"/>
  <c r="K44" i="25"/>
  <c r="J44" i="25"/>
  <c r="E44" i="25"/>
  <c r="D44" i="25"/>
  <c r="C44" i="25"/>
  <c r="AB6" i="25"/>
  <c r="Q43" i="25"/>
  <c r="P43" i="25"/>
  <c r="O43" i="25"/>
  <c r="J43" i="25"/>
  <c r="H43" i="25"/>
  <c r="E43" i="25"/>
  <c r="D43" i="25"/>
  <c r="C43" i="25"/>
  <c r="B43" i="25"/>
  <c r="Y5" i="25"/>
  <c r="Q42" i="25"/>
  <c r="P42" i="25"/>
  <c r="O42" i="25"/>
  <c r="K42" i="25"/>
  <c r="J42" i="25"/>
  <c r="E42" i="25"/>
  <c r="D42" i="25"/>
  <c r="C42" i="25"/>
  <c r="AB4" i="25"/>
  <c r="Q41" i="25"/>
  <c r="P41" i="25"/>
  <c r="O41" i="25"/>
  <c r="J41" i="25"/>
  <c r="H41" i="25"/>
  <c r="E41" i="25"/>
  <c r="D41" i="25"/>
  <c r="C41" i="25"/>
  <c r="B41" i="25"/>
  <c r="Y3" i="25"/>
  <c r="Q40" i="25"/>
  <c r="K40" i="25"/>
  <c r="J40" i="25"/>
  <c r="E40" i="25"/>
  <c r="D40" i="25"/>
  <c r="C40" i="25"/>
  <c r="Y2" i="25"/>
  <c r="Q39" i="25"/>
  <c r="H39" i="25"/>
  <c r="E39" i="25"/>
  <c r="D39" i="25"/>
  <c r="C39" i="25"/>
  <c r="B39" i="25"/>
  <c r="K38" i="25"/>
  <c r="E38" i="25"/>
  <c r="D38" i="25"/>
  <c r="C38" i="25"/>
  <c r="Q37" i="25"/>
  <c r="H37" i="25"/>
  <c r="E37" i="25"/>
  <c r="D37" i="25"/>
  <c r="C37" i="25"/>
  <c r="B37" i="25"/>
  <c r="Q36" i="25"/>
  <c r="K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G45" i="2"/>
  <c r="F45" i="2"/>
  <c r="B45" i="2"/>
  <c r="G44" i="2"/>
  <c r="F44" i="2"/>
  <c r="B44" i="2"/>
  <c r="G43" i="2"/>
  <c r="F43" i="2"/>
  <c r="B43" i="2"/>
  <c r="G42" i="2"/>
  <c r="F42" i="2"/>
  <c r="B42" i="2"/>
  <c r="G41" i="2"/>
  <c r="F41" i="2"/>
  <c r="B41" i="2"/>
  <c r="G40" i="2"/>
  <c r="F40" i="2"/>
  <c r="B40" i="2"/>
  <c r="G39" i="2"/>
  <c r="F39" i="2"/>
  <c r="B39" i="2"/>
  <c r="G38" i="2"/>
  <c r="F38" i="2"/>
  <c r="B38" i="2"/>
  <c r="G37" i="2"/>
  <c r="F37" i="2"/>
  <c r="B37" i="2"/>
  <c r="G36" i="2"/>
  <c r="F36" i="2"/>
  <c r="B36" i="2"/>
  <c r="G35" i="2"/>
  <c r="F35" i="2"/>
  <c r="B35" i="2"/>
  <c r="G34" i="2"/>
  <c r="F34" i="2"/>
  <c r="B34" i="2"/>
  <c r="G33" i="2"/>
  <c r="F33" i="2"/>
  <c r="B33" i="2"/>
  <c r="G32" i="2"/>
  <c r="F32" i="2"/>
  <c r="B32" i="2"/>
  <c r="G31" i="2"/>
  <c r="F31" i="2"/>
  <c r="B31" i="2"/>
  <c r="G30" i="2"/>
  <c r="F30" i="2"/>
  <c r="B30" i="2"/>
  <c r="G29" i="2"/>
  <c r="F29" i="2"/>
  <c r="B29" i="2"/>
  <c r="G28" i="2"/>
  <c r="F28" i="2"/>
  <c r="B28" i="2"/>
  <c r="G27" i="2"/>
  <c r="F27" i="2"/>
  <c r="B27" i="2"/>
  <c r="G26" i="2"/>
  <c r="F26" i="2"/>
  <c r="B26" i="2"/>
  <c r="G25" i="2"/>
  <c r="F25" i="2"/>
  <c r="B25" i="2"/>
  <c r="G24" i="2"/>
  <c r="F24" i="2"/>
  <c r="B24" i="2"/>
  <c r="G23" i="2"/>
  <c r="F23" i="2"/>
  <c r="B23" i="2"/>
  <c r="G22" i="2"/>
  <c r="F22" i="2"/>
  <c r="B22" i="2"/>
  <c r="G21" i="2"/>
  <c r="F21" i="2"/>
  <c r="B21" i="2"/>
  <c r="G20" i="2"/>
  <c r="F20" i="2"/>
  <c r="B20" i="2"/>
  <c r="G19" i="2"/>
  <c r="F19" i="2"/>
  <c r="B19" i="2"/>
  <c r="G18" i="2"/>
  <c r="F18" i="2"/>
  <c r="B18" i="2"/>
  <c r="G17" i="2"/>
  <c r="F17" i="2"/>
  <c r="B17" i="2"/>
  <c r="G16" i="2"/>
  <c r="F16" i="2"/>
  <c r="B16" i="2"/>
  <c r="G15" i="2"/>
  <c r="F15" i="2"/>
  <c r="B15" i="2"/>
  <c r="G14" i="2"/>
  <c r="F14" i="2"/>
  <c r="B14" i="2"/>
  <c r="G13" i="2"/>
  <c r="F13" i="2"/>
  <c r="B13" i="2"/>
  <c r="G12" i="2"/>
  <c r="F12" i="2"/>
  <c r="B12" i="2"/>
  <c r="G11" i="2"/>
  <c r="F11" i="2"/>
  <c r="B11" i="2"/>
  <c r="G10" i="2"/>
  <c r="F10" i="2"/>
  <c r="B10" i="2"/>
  <c r="G9" i="2"/>
  <c r="F9" i="2"/>
  <c r="B9" i="2"/>
  <c r="G8" i="2"/>
  <c r="F8" i="2"/>
  <c r="B8" i="2"/>
  <c r="G7" i="2"/>
  <c r="F7" i="2"/>
  <c r="B7" i="2"/>
  <c r="G6" i="2"/>
  <c r="F6" i="2"/>
  <c r="B6" i="2"/>
  <c r="G5" i="2"/>
  <c r="F5" i="2"/>
  <c r="B5" i="2"/>
  <c r="G4" i="2"/>
  <c r="F4" i="2"/>
  <c r="B4" i="2"/>
  <c r="G3" i="2"/>
  <c r="F3" i="2"/>
  <c r="B3" i="2"/>
  <c r="J2" i="2"/>
  <c r="G2" i="2"/>
  <c r="F2" i="2"/>
  <c r="B2" i="2"/>
  <c r="O45" i="22"/>
  <c r="L38" i="22"/>
  <c r="K38" i="22"/>
  <c r="O40" i="22"/>
  <c r="L21" i="22"/>
  <c r="K21" i="22"/>
  <c r="O35" i="22"/>
  <c r="L41" i="22"/>
  <c r="K41" i="22"/>
  <c r="O39" i="22"/>
  <c r="L18" i="22"/>
  <c r="K18" i="22"/>
  <c r="L27" i="22"/>
  <c r="K27" i="22"/>
  <c r="O34" i="22"/>
  <c r="O37" i="22"/>
  <c r="O44" i="22"/>
  <c r="B51" i="22"/>
  <c r="L47" i="22"/>
  <c r="K47" i="22"/>
  <c r="O33" i="22"/>
  <c r="L15" i="22"/>
  <c r="K15" i="22"/>
  <c r="L23" i="22"/>
  <c r="K23" i="22"/>
  <c r="O22" i="22"/>
  <c r="L2" i="22"/>
  <c r="K2" i="22"/>
  <c r="B45" i="22"/>
  <c r="B44" i="22"/>
  <c r="O31" i="22"/>
  <c r="L10" i="22"/>
  <c r="K10" i="22"/>
  <c r="B43" i="22"/>
  <c r="B42" i="22"/>
  <c r="O29" i="22"/>
  <c r="L8" i="22"/>
  <c r="K8" i="22"/>
  <c r="B41" i="22"/>
  <c r="O28" i="22"/>
  <c r="L7" i="22"/>
  <c r="K7" i="22"/>
  <c r="B40" i="22"/>
  <c r="B39" i="22"/>
  <c r="B38" i="22"/>
  <c r="O32" i="22"/>
  <c r="L42" i="22"/>
  <c r="K42" i="22"/>
  <c r="B37" i="22"/>
  <c r="O26" i="22"/>
  <c r="L6" i="22"/>
  <c r="K6" i="22"/>
  <c r="B36" i="22"/>
  <c r="B35" i="22"/>
  <c r="O27" i="22"/>
  <c r="L36" i="22"/>
  <c r="K36" i="22"/>
  <c r="B34" i="22"/>
  <c r="L26" i="22"/>
  <c r="K26" i="22"/>
  <c r="B33" i="22"/>
  <c r="O36" i="22"/>
  <c r="B32" i="22"/>
  <c r="O3" i="22"/>
  <c r="L14" i="22"/>
  <c r="K14" i="22"/>
  <c r="B31" i="22"/>
  <c r="L30" i="22"/>
  <c r="K30" i="22"/>
  <c r="B30" i="22"/>
  <c r="O2" i="22"/>
  <c r="L9" i="22"/>
  <c r="K9" i="22"/>
  <c r="B29" i="22"/>
  <c r="O38" i="22"/>
  <c r="L39" i="22"/>
  <c r="K39" i="22"/>
  <c r="B28" i="22"/>
  <c r="B27" i="22"/>
  <c r="O42" i="22"/>
  <c r="B26" i="22"/>
  <c r="O9" i="22"/>
  <c r="L13" i="22"/>
  <c r="K13" i="22"/>
  <c r="B25" i="22"/>
  <c r="O5" i="22"/>
  <c r="L24" i="22"/>
  <c r="K24" i="22"/>
  <c r="B24" i="22"/>
  <c r="O17" i="22"/>
  <c r="L4" i="22"/>
  <c r="K4" i="22"/>
  <c r="B23" i="22"/>
  <c r="O43" i="22"/>
  <c r="L19" i="22"/>
  <c r="K19" i="22"/>
  <c r="B22" i="22"/>
  <c r="O21" i="22"/>
  <c r="L35" i="22"/>
  <c r="K35" i="22"/>
  <c r="B21" i="22"/>
  <c r="O41" i="22"/>
  <c r="L29" i="22"/>
  <c r="K29" i="22"/>
  <c r="B20" i="22"/>
  <c r="O13" i="22"/>
  <c r="L16" i="22"/>
  <c r="K16" i="22"/>
  <c r="B19" i="22"/>
  <c r="O7" i="22"/>
  <c r="L20" i="22"/>
  <c r="K20" i="22"/>
  <c r="B18" i="22"/>
  <c r="O11" i="22"/>
  <c r="L32" i="22"/>
  <c r="K32" i="22"/>
  <c r="B17" i="22"/>
  <c r="O19" i="22"/>
  <c r="B16" i="22"/>
  <c r="O16" i="22"/>
  <c r="L25" i="22"/>
  <c r="K25" i="22"/>
  <c r="B15" i="22"/>
  <c r="O24" i="22"/>
  <c r="L43" i="22"/>
  <c r="K43" i="22"/>
  <c r="B14" i="22"/>
  <c r="O12" i="22"/>
  <c r="L22" i="22"/>
  <c r="K22" i="22"/>
  <c r="B13" i="22"/>
  <c r="O4" i="22"/>
  <c r="L28" i="22"/>
  <c r="K28" i="22"/>
  <c r="B12" i="22"/>
  <c r="O23" i="22"/>
  <c r="L34" i="22"/>
  <c r="K34" i="22"/>
  <c r="B11" i="22"/>
  <c r="O6" i="22"/>
  <c r="L17" i="22"/>
  <c r="K17" i="22"/>
  <c r="B10" i="22"/>
  <c r="O25" i="22"/>
  <c r="L12" i="22"/>
  <c r="K12" i="22"/>
  <c r="B9" i="22"/>
  <c r="O14" i="22"/>
  <c r="L33" i="22"/>
  <c r="K33" i="22"/>
  <c r="B8" i="22"/>
  <c r="O30" i="22"/>
  <c r="L37" i="22"/>
  <c r="K37" i="22"/>
  <c r="B7" i="22"/>
  <c r="O20" i="22"/>
  <c r="L40" i="22"/>
  <c r="K40" i="22"/>
  <c r="B6" i="22"/>
  <c r="O15" i="22"/>
  <c r="L31" i="22"/>
  <c r="K31" i="22"/>
  <c r="B5" i="22"/>
  <c r="O10" i="22"/>
  <c r="L11" i="22"/>
  <c r="K11" i="22"/>
  <c r="B4" i="22"/>
  <c r="O8" i="22"/>
  <c r="L5" i="22"/>
  <c r="K5" i="22"/>
  <c r="B3" i="22"/>
  <c r="O18" i="22"/>
  <c r="L3" i="22"/>
  <c r="K3"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L15" i="34"/>
  <c r="L14" i="34"/>
  <c r="L13" i="34"/>
  <c r="Q13" i="34" s="1"/>
  <c r="L12" i="34"/>
  <c r="L11" i="34"/>
  <c r="AH17" i="34"/>
  <c r="AL18" i="34"/>
  <c r="AK18" i="34"/>
  <c r="AQ18" i="34" s="1"/>
  <c r="AH18" i="34"/>
  <c r="AP18" i="34" s="1"/>
  <c r="A47" i="2"/>
  <c r="A46" i="2"/>
  <c r="Q14" i="34"/>
  <c r="Q15" i="34"/>
  <c r="L10" i="34"/>
  <c r="Q10" i="34" s="1"/>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8" i="5"/>
  <c r="AC18" i="5" s="1"/>
  <c r="AC17" i="5"/>
  <c r="H17" i="5"/>
  <c r="A10" i="5"/>
  <c r="AC10" i="5" s="1"/>
  <c r="AC8" i="5"/>
  <c r="H8" i="5"/>
  <c r="H32" i="5"/>
  <c r="AC32" i="5"/>
  <c r="A53" i="24"/>
  <c r="AC53" i="5"/>
  <c r="H53" i="5"/>
  <c r="H59" i="5"/>
  <c r="AC59" i="5"/>
  <c r="A11" i="24"/>
  <c r="AC11" i="5"/>
  <c r="H11" i="5"/>
  <c r="A37" i="5"/>
  <c r="AC37" i="5" s="1"/>
  <c r="H35" i="5"/>
  <c r="AC35" i="5"/>
  <c r="H56" i="5"/>
  <c r="AC56" i="5"/>
  <c r="C8" i="1"/>
  <c r="I2" i="48"/>
  <c r="F2" i="48" s="1"/>
  <c r="M2" i="22" s="1"/>
  <c r="I5" i="48"/>
  <c r="F55" i="48" s="1"/>
  <c r="I4" i="48"/>
  <c r="F36" i="48" s="1"/>
  <c r="M26" i="22" s="1"/>
  <c r="I3" i="48"/>
  <c r="F23" i="48" s="1"/>
  <c r="M17" i="22" s="1"/>
  <c r="L8" i="34"/>
  <c r="L9" i="34"/>
  <c r="Q9" i="34" s="1"/>
  <c r="L6" i="34"/>
  <c r="Q6" i="34" s="1"/>
  <c r="AB12" i="13"/>
  <c r="U13" i="25" s="1"/>
  <c r="AB15" i="13"/>
  <c r="J49" i="2"/>
  <c r="AK17" i="34"/>
  <c r="AQ17" i="34" s="1"/>
  <c r="AK16" i="34"/>
  <c r="AQ16" i="34" s="1"/>
  <c r="AB14" i="13"/>
  <c r="U15" i="25" s="1"/>
  <c r="AK15" i="34"/>
  <c r="AQ15" i="34" s="1"/>
  <c r="AB16" i="13"/>
  <c r="U17" i="25" s="1"/>
  <c r="I44" i="22"/>
  <c r="I6" i="22"/>
  <c r="F3" i="54"/>
  <c r="E3" i="54"/>
  <c r="J44" i="22"/>
  <c r="J18" i="22"/>
  <c r="AB10" i="13"/>
  <c r="U11" i="25" s="1"/>
  <c r="O27" i="25"/>
  <c r="O29" i="25"/>
  <c r="AB8" i="13"/>
  <c r="U9" i="25" s="1"/>
  <c r="AB2" i="13"/>
  <c r="U3" i="25" s="1"/>
  <c r="AB3" i="13"/>
  <c r="U4" i="25" s="1"/>
  <c r="I16" i="22"/>
  <c r="I15" i="22"/>
  <c r="J16" i="22"/>
  <c r="J2" i="22"/>
  <c r="E4" i="54"/>
  <c r="J11" i="22"/>
  <c r="J8" i="22"/>
  <c r="J39" i="22"/>
  <c r="J36" i="22"/>
  <c r="I2" i="22"/>
  <c r="N27" i="22"/>
  <c r="I36" i="22"/>
  <c r="J31" i="22"/>
  <c r="I31" i="22"/>
  <c r="N22" i="22"/>
  <c r="J32" i="22"/>
  <c r="I4" i="22"/>
  <c r="I29" i="22"/>
  <c r="J7" i="22"/>
  <c r="J20" i="22"/>
  <c r="J29" i="22"/>
  <c r="J30" i="22"/>
  <c r="F4" i="54"/>
  <c r="N15" i="22"/>
  <c r="F6" i="34"/>
  <c r="N13" i="22"/>
  <c r="N40" i="22"/>
  <c r="N33" i="22"/>
  <c r="N29" i="22"/>
  <c r="N21" i="22"/>
  <c r="N2" i="22"/>
  <c r="N17" i="22"/>
  <c r="O32" i="25"/>
  <c r="N11" i="22"/>
  <c r="N35"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19" i="22"/>
  <c r="J25" i="22"/>
  <c r="J27" i="22"/>
  <c r="N42" i="22"/>
  <c r="N37" i="22"/>
  <c r="N43" i="22"/>
  <c r="N34" i="22"/>
  <c r="N18" i="22"/>
  <c r="N23" i="22"/>
  <c r="J41" i="22"/>
  <c r="J9" i="22"/>
  <c r="J3" i="22"/>
  <c r="J34" i="22"/>
  <c r="J23" i="22"/>
  <c r="J14" i="22"/>
  <c r="J5" i="22"/>
  <c r="J26" i="22"/>
  <c r="J21" i="22"/>
  <c r="J37" i="22"/>
  <c r="J24" i="22"/>
  <c r="J38" i="22"/>
  <c r="J12" i="22"/>
  <c r="J13" i="22"/>
  <c r="J10" i="22"/>
  <c r="J33" i="22"/>
  <c r="J40" i="22"/>
  <c r="N3" i="22"/>
  <c r="N8" i="22"/>
  <c r="N4" i="22"/>
  <c r="N30" i="22"/>
  <c r="N24" i="22"/>
  <c r="N38" i="22"/>
  <c r="N45" i="22"/>
  <c r="N32" i="22"/>
  <c r="N25" i="22"/>
  <c r="N19" i="22"/>
  <c r="N31" i="22"/>
  <c r="N39" i="22"/>
  <c r="N6" i="22"/>
  <c r="N14" i="22"/>
  <c r="N7" i="22"/>
  <c r="N20" i="22"/>
  <c r="N41" i="22"/>
  <c r="I19" i="22"/>
  <c r="I27" i="22"/>
  <c r="I47" i="22"/>
  <c r="I3" i="22"/>
  <c r="I34" i="22"/>
  <c r="I23" i="22"/>
  <c r="I7" i="22"/>
  <c r="I14" i="22"/>
  <c r="I24" i="22"/>
  <c r="I43" i="22"/>
  <c r="I38" i="22"/>
  <c r="I12" i="22"/>
  <c r="I10" i="22"/>
  <c r="I18" i="22"/>
  <c r="I33" i="22"/>
  <c r="I20" i="22"/>
  <c r="I40" i="22"/>
  <c r="I30" i="22"/>
  <c r="AB13" i="13"/>
  <c r="U14" i="25" s="1"/>
  <c r="O6" i="25"/>
  <c r="AB17" i="13"/>
  <c r="U18" i="25" s="1"/>
  <c r="O4" i="25"/>
  <c r="O23" i="25"/>
  <c r="O15" i="25"/>
  <c r="A2" i="2"/>
  <c r="W36" i="7"/>
  <c r="U36" i="7" s="1"/>
  <c r="M29" i="22"/>
  <c r="M12" i="22"/>
  <c r="L5" i="34"/>
  <c r="Q5" i="34" s="1"/>
  <c r="I32" i="22"/>
  <c r="I28" i="22"/>
  <c r="I39" i="22"/>
  <c r="I11" i="22"/>
  <c r="I8" i="22"/>
  <c r="I17" i="22"/>
  <c r="I42" i="22"/>
  <c r="B43" i="24"/>
  <c r="B79" i="24"/>
  <c r="B74" i="24"/>
  <c r="B121" i="24"/>
  <c r="B64" i="24"/>
  <c r="B9" i="24"/>
  <c r="B14" i="24"/>
  <c r="B75" i="24"/>
  <c r="M11" i="22"/>
  <c r="N16" i="22"/>
  <c r="N26" i="22"/>
  <c r="N28" i="22"/>
  <c r="E6" i="54"/>
  <c r="J43" i="22"/>
  <c r="J35" i="22"/>
  <c r="J28" i="22"/>
  <c r="J42" i="22"/>
  <c r="W6" i="7"/>
  <c r="U6" i="7" s="1"/>
  <c r="W10" i="7"/>
  <c r="B76" i="24"/>
  <c r="B68" i="24"/>
  <c r="B94" i="24"/>
  <c r="B11" i="24"/>
  <c r="B80" i="24"/>
  <c r="B61" i="24"/>
  <c r="B88" i="24"/>
  <c r="B96" i="24"/>
  <c r="B130" i="24"/>
  <c r="B6" i="24"/>
  <c r="B47" i="24"/>
  <c r="B45" i="24"/>
  <c r="B120" i="24"/>
  <c r="B97" i="24"/>
  <c r="B59" i="24"/>
  <c r="B89" i="24"/>
  <c r="B19" i="24"/>
  <c r="B81" i="24"/>
  <c r="W30" i="7"/>
  <c r="U30" i="7" s="1"/>
  <c r="W23" i="7"/>
  <c r="U23" i="7" s="1"/>
  <c r="W44" i="7"/>
  <c r="U44" i="7" s="1"/>
  <c r="W41" i="7"/>
  <c r="W9" i="7"/>
  <c r="U9" i="7" s="1"/>
  <c r="W17" i="7"/>
  <c r="W33" i="7"/>
  <c r="W14" i="7"/>
  <c r="U14" i="7" s="1"/>
  <c r="W46" i="7"/>
  <c r="U46" i="7" s="1"/>
  <c r="J4" i="22"/>
  <c r="J15" i="22"/>
  <c r="J6" i="22"/>
  <c r="J47" i="22"/>
  <c r="J17" i="22"/>
  <c r="N12" i="22"/>
  <c r="N44" i="22"/>
  <c r="J22" i="22"/>
  <c r="B109" i="24"/>
  <c r="B101" i="24"/>
  <c r="B52" i="24"/>
  <c r="B131" i="24"/>
  <c r="B107" i="24"/>
  <c r="B123" i="24"/>
  <c r="B115"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33" i="24"/>
  <c r="B37" i="24"/>
  <c r="B60" i="24"/>
  <c r="B83" i="24"/>
  <c r="B127" i="24"/>
  <c r="B108" i="24"/>
  <c r="B129" i="24"/>
  <c r="B54" i="24"/>
  <c r="B3" i="24"/>
  <c r="B67" i="24"/>
  <c r="B87" i="24"/>
  <c r="B95" i="24"/>
  <c r="B53" i="24"/>
  <c r="B73" i="24"/>
  <c r="B86"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32" i="24"/>
  <c r="B36" i="24"/>
  <c r="B46" i="24"/>
  <c r="B56" i="24"/>
  <c r="B63" i="24"/>
  <c r="B70" i="24"/>
  <c r="B77" i="24"/>
  <c r="B91" i="24"/>
  <c r="B104"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71" i="24"/>
  <c r="A35" i="24"/>
  <c r="A98" i="24"/>
  <c r="A92" i="24"/>
  <c r="A86" i="24"/>
  <c r="A80" i="24"/>
  <c r="A103" i="5"/>
  <c r="AC103" i="5" s="1"/>
  <c r="A101" i="24"/>
  <c r="A109" i="5"/>
  <c r="AC109" i="5" s="1"/>
  <c r="A107" i="24"/>
  <c r="A115" i="5"/>
  <c r="AC115" i="5" s="1"/>
  <c r="A113" i="24"/>
  <c r="A122" i="24"/>
  <c r="A128" i="24"/>
  <c r="A116" i="24"/>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6" i="5"/>
  <c r="AC16" i="5" s="1"/>
  <c r="A63" i="5"/>
  <c r="AC63" i="5" s="1"/>
  <c r="A125" i="24"/>
  <c r="A131" i="24"/>
  <c r="A51" i="5"/>
  <c r="AC51" i="5" s="1"/>
  <c r="A62" i="24"/>
  <c r="A68" i="24"/>
  <c r="A74" i="24"/>
  <c r="A77" i="24"/>
  <c r="A83" i="24"/>
  <c r="A89" i="24"/>
  <c r="A95" i="24"/>
  <c r="A3" i="5"/>
  <c r="AC19" i="5"/>
  <c r="A8" i="24"/>
  <c r="A17" i="24"/>
  <c r="A44" i="24"/>
  <c r="C2" i="54"/>
  <c r="F6" i="54"/>
  <c r="A41" i="2"/>
  <c r="A45" i="2"/>
  <c r="A3" i="2"/>
  <c r="A10" i="2"/>
  <c r="A19" i="2"/>
  <c r="A26" i="2"/>
  <c r="A34" i="2"/>
  <c r="A40" i="2"/>
  <c r="N5" i="22"/>
  <c r="N36" i="22"/>
  <c r="A9" i="2"/>
  <c r="A16" i="2"/>
  <c r="A25" i="2"/>
  <c r="A31" i="2"/>
  <c r="A42" i="2"/>
  <c r="I37" i="22"/>
  <c r="A5" i="2"/>
  <c r="A12" i="2"/>
  <c r="A21" i="2"/>
  <c r="A27" i="2"/>
  <c r="A36" i="2"/>
  <c r="I26" i="22"/>
  <c r="A37" i="2"/>
  <c r="A11" i="2"/>
  <c r="A18" i="2"/>
  <c r="I41" i="22"/>
  <c r="A33" i="2"/>
  <c r="N9" i="22"/>
  <c r="A15" i="2"/>
  <c r="I9" i="22"/>
  <c r="A30" i="2"/>
  <c r="I21" i="22"/>
  <c r="A44" i="2"/>
  <c r="O54" i="22"/>
  <c r="A8" i="2"/>
  <c r="A17" i="2"/>
  <c r="A24" i="2"/>
  <c r="A32" i="2"/>
  <c r="A39" i="2"/>
  <c r="A7" i="2"/>
  <c r="I22" i="22"/>
  <c r="A14" i="2"/>
  <c r="A23" i="2"/>
  <c r="I35" i="22"/>
  <c r="A29" i="2"/>
  <c r="A38" i="2"/>
  <c r="I5" i="22"/>
  <c r="A4" i="2"/>
  <c r="A13" i="2"/>
  <c r="A20" i="2"/>
  <c r="A28" i="2"/>
  <c r="A35" i="2"/>
  <c r="A43" i="2"/>
  <c r="H28" i="34"/>
  <c r="G27" i="34"/>
  <c r="F26" i="34"/>
  <c r="H24" i="34"/>
  <c r="F23" i="34"/>
  <c r="F20" i="34"/>
  <c r="G28" i="34"/>
  <c r="F27" i="34"/>
  <c r="G24" i="34"/>
  <c r="H21" i="34"/>
  <c r="AP20" i="34"/>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P17" i="34"/>
  <c r="AH15" i="34"/>
  <c r="AP15" i="34" s="1"/>
  <c r="F15" i="34"/>
  <c r="AB11" i="34"/>
  <c r="AN11" i="34" s="1"/>
  <c r="AK10" i="34"/>
  <c r="AQ10" i="34" s="1"/>
  <c r="H10" i="34"/>
  <c r="H7" i="34"/>
  <c r="AH6" i="34"/>
  <c r="AP6" i="34" s="1"/>
  <c r="G6" i="34"/>
  <c r="F5" i="34"/>
  <c r="G25" i="34"/>
  <c r="H23" i="34"/>
  <c r="G21" i="34"/>
  <c r="AP19" i="34"/>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5" i="22"/>
  <c r="B2" i="54"/>
  <c r="L6" i="54"/>
  <c r="W40" i="7"/>
  <c r="U40" i="7" s="1"/>
  <c r="C2" i="1"/>
  <c r="I1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B9" i="13"/>
  <c r="AB5" i="13"/>
  <c r="AB7" i="13"/>
  <c r="AB6" i="13"/>
  <c r="AB4" i="13"/>
  <c r="AB11" i="13"/>
  <c r="AI17" i="34" l="1"/>
  <c r="AI18" i="34"/>
  <c r="AC3" i="5"/>
  <c r="AH8" i="13"/>
  <c r="Z9" i="25" s="1"/>
  <c r="U16" i="25"/>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E18" i="34"/>
  <c r="AI11"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138" i="5" l="1"/>
  <c r="T136" i="5"/>
  <c r="T137" i="5"/>
  <c r="T135" i="5"/>
  <c r="T90" i="5"/>
  <c r="T89" i="5"/>
  <c r="T91" i="5"/>
  <c r="T92" i="5"/>
  <c r="T60" i="5"/>
  <c r="M37" i="22"/>
  <c r="M7" i="22"/>
  <c r="B20" i="10"/>
  <c r="B25" i="10" s="1"/>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5" i="22"/>
  <c r="M38" i="22"/>
  <c r="M34" i="22"/>
  <c r="M43" i="22"/>
  <c r="L46" i="2" s="1"/>
  <c r="M46" i="2" s="1"/>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43"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139" i="5" l="1"/>
  <c r="L47" i="2"/>
  <c r="M47" i="2" s="1"/>
  <c r="T134" i="5"/>
  <c r="G134" i="3"/>
  <c r="R134" i="5" s="1"/>
  <c r="R135" i="5"/>
  <c r="R136" i="5"/>
  <c r="T87" i="5"/>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4" i="2"/>
  <c r="M44" i="2" s="1"/>
  <c r="L28" i="2"/>
  <c r="M28" i="2" s="1"/>
  <c r="L23" i="2"/>
  <c r="M23"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S139" i="5" l="1"/>
  <c r="P47" i="22"/>
  <c r="P46" i="22"/>
  <c r="G10" i="3"/>
  <c r="G56" i="3"/>
  <c r="R56" i="5" s="1"/>
  <c r="P34" i="22"/>
  <c r="P18" i="22"/>
  <c r="P16" i="22"/>
  <c r="P12" i="22"/>
  <c r="P6" i="22"/>
  <c r="P35" i="22"/>
  <c r="P26" i="22"/>
  <c r="P27" i="22"/>
  <c r="P10" i="22"/>
  <c r="P31" i="22"/>
  <c r="P15" i="22"/>
  <c r="P32" i="22"/>
  <c r="P36" i="22"/>
  <c r="P2" i="22"/>
  <c r="P22" i="22"/>
  <c r="P29" i="22"/>
  <c r="P23" i="22"/>
  <c r="P11" i="22"/>
  <c r="P33" i="22"/>
  <c r="P7" i="22"/>
  <c r="P19" i="22"/>
  <c r="P13" i="22"/>
  <c r="P14" i="22"/>
  <c r="P17" i="22"/>
  <c r="P42" i="22"/>
  <c r="P24" i="22"/>
  <c r="P25" i="22"/>
  <c r="P3" i="22"/>
  <c r="P44" i="22"/>
  <c r="P30" i="22"/>
  <c r="P41" i="22"/>
  <c r="P9" i="22"/>
  <c r="P37" i="22"/>
  <c r="P45" i="22"/>
  <c r="P38" i="22"/>
  <c r="P28" i="22"/>
  <c r="P21" i="22"/>
  <c r="P39" i="22"/>
  <c r="P43" i="22"/>
  <c r="P20" i="22"/>
  <c r="P5" i="22"/>
  <c r="J4" i="3"/>
  <c r="P4" i="22"/>
  <c r="P8" i="22"/>
  <c r="P40" i="22"/>
  <c r="J3" i="3"/>
  <c r="R5" i="5"/>
  <c r="S5" i="5" s="1"/>
  <c r="S9" i="5"/>
  <c r="R6" i="5"/>
  <c r="S8" i="5"/>
  <c r="R12" i="5"/>
  <c r="AJ3" i="25"/>
  <c r="R15" i="5"/>
  <c r="S7" i="5"/>
  <c r="S4" i="5"/>
  <c r="F137" i="1" l="1"/>
  <c r="S135" i="5"/>
  <c r="C137" i="5"/>
  <c r="D137" i="1" s="1"/>
  <c r="K137" i="5"/>
  <c r="L137" i="5"/>
  <c r="D137" i="5" s="1"/>
  <c r="E137" i="1" s="1"/>
  <c r="X137" i="1" s="1"/>
  <c r="Y47" i="1" s="1"/>
  <c r="AB47" i="1" s="1"/>
  <c r="F139" i="1"/>
  <c r="C139" i="5"/>
  <c r="D139" i="1" s="1"/>
  <c r="L139" i="5"/>
  <c r="D139" i="5" s="1"/>
  <c r="E139" i="1" s="1"/>
  <c r="K138" i="5"/>
  <c r="K139" i="5"/>
  <c r="F138" i="1"/>
  <c r="C138" i="5"/>
  <c r="D138" i="1" s="1"/>
  <c r="L138" i="5"/>
  <c r="D138" i="5" s="1"/>
  <c r="E138" i="1" s="1"/>
  <c r="K136" i="5"/>
  <c r="L136" i="5"/>
  <c r="D136" i="5" s="1"/>
  <c r="E136" i="1" s="1"/>
  <c r="Y136" i="5"/>
  <c r="C136" i="5"/>
  <c r="D136" i="1" s="1"/>
  <c r="F136" i="1"/>
  <c r="S137" i="5"/>
  <c r="S138" i="5"/>
  <c r="C135" i="5"/>
  <c r="D135" i="1" s="1"/>
  <c r="L134" i="5"/>
  <c r="D134" i="5" s="1"/>
  <c r="E134" i="1" s="1"/>
  <c r="Y134" i="5"/>
  <c r="K134" i="5"/>
  <c r="C134" i="5"/>
  <c r="D134" i="1" s="1"/>
  <c r="F134" i="1"/>
  <c r="S134" i="5"/>
  <c r="S136" i="5"/>
  <c r="F135" i="1"/>
  <c r="Y135" i="5"/>
  <c r="L135" i="5"/>
  <c r="D135" i="5" s="1"/>
  <c r="E135" i="1" s="1"/>
  <c r="K135" i="5"/>
  <c r="AB48" i="5"/>
  <c r="AB31" i="5"/>
  <c r="AB91" i="5"/>
  <c r="AB80" i="5"/>
  <c r="S51" i="5"/>
  <c r="Y23" i="5"/>
  <c r="Y100" i="5"/>
  <c r="Y25" i="5"/>
  <c r="Y39" i="5"/>
  <c r="Y5" i="5"/>
  <c r="Y59" i="5"/>
  <c r="Y221" i="5"/>
  <c r="Y50" i="5"/>
  <c r="Y93" i="5"/>
  <c r="Y130" i="5"/>
  <c r="Y35" i="5"/>
  <c r="Y110" i="5"/>
  <c r="Y84" i="5"/>
  <c r="Y104" i="5"/>
  <c r="Y238" i="5"/>
  <c r="Y126" i="5"/>
  <c r="Y74" i="5"/>
  <c r="Y55" i="5"/>
  <c r="Y231" i="5"/>
  <c r="Y49" i="5"/>
  <c r="Y211" i="5"/>
  <c r="Y21" i="5"/>
  <c r="Y43" i="5"/>
  <c r="Y106" i="5"/>
  <c r="Y58" i="5"/>
  <c r="Y128" i="5"/>
  <c r="Y121" i="5"/>
  <c r="Y78" i="5"/>
  <c r="Y29" i="5"/>
  <c r="Y97" i="5"/>
  <c r="Y244" i="5"/>
  <c r="Y45" i="5"/>
  <c r="Y187" i="5"/>
  <c r="Y76" i="5"/>
  <c r="Y47" i="5"/>
  <c r="Y37" i="5"/>
  <c r="Y27" i="5"/>
  <c r="Y120" i="5"/>
  <c r="Y94" i="5"/>
  <c r="Y75" i="5"/>
  <c r="Y9" i="5"/>
  <c r="Y48" i="5"/>
  <c r="Y92" i="5"/>
  <c r="Y26" i="5"/>
  <c r="Y88" i="5"/>
  <c r="Y119" i="5"/>
  <c r="Y131" i="5"/>
  <c r="Y38" i="5"/>
  <c r="Y44" i="5"/>
  <c r="Y7" i="5"/>
  <c r="Y201" i="5"/>
  <c r="Y90" i="5"/>
  <c r="Y15" i="5"/>
  <c r="Y137" i="5"/>
  <c r="Y214" i="5"/>
  <c r="Y235" i="5"/>
  <c r="Y163" i="5"/>
  <c r="Y249" i="5"/>
  <c r="Y205" i="5"/>
  <c r="Y284" i="5"/>
  <c r="Y160" i="5"/>
  <c r="Y212" i="5"/>
  <c r="Y161" i="5"/>
  <c r="Y61" i="5"/>
  <c r="Y264" i="5"/>
  <c r="Y133" i="5"/>
  <c r="Y189" i="5"/>
  <c r="Y80" i="5"/>
  <c r="Y279" i="5"/>
  <c r="Y116" i="5"/>
  <c r="Y196" i="5"/>
  <c r="Y234" i="5"/>
  <c r="Y207" i="5"/>
  <c r="Y236" i="5"/>
  <c r="Y113" i="5"/>
  <c r="Y277" i="5"/>
  <c r="Y51" i="5"/>
  <c r="Y82" i="5"/>
  <c r="Y24" i="5"/>
  <c r="Y107" i="5"/>
  <c r="Y230" i="5"/>
  <c r="Y172" i="5"/>
  <c r="Y226" i="5"/>
  <c r="Y263" i="5"/>
  <c r="Y188" i="5"/>
  <c r="Y243" i="5"/>
  <c r="Y105" i="5"/>
  <c r="Y191" i="5"/>
  <c r="Y32" i="5"/>
  <c r="Y225" i="5"/>
  <c r="Y241" i="5"/>
  <c r="Y70" i="5"/>
  <c r="Y261" i="5"/>
  <c r="Y96" i="5"/>
  <c r="Y91" i="5"/>
  <c r="Y81" i="5"/>
  <c r="Y164" i="5"/>
  <c r="Y254" i="5"/>
  <c r="Y260" i="5"/>
  <c r="Y125" i="5"/>
  <c r="Y203" i="5"/>
  <c r="Y193" i="5"/>
  <c r="Y117" i="5"/>
  <c r="Y181" i="5"/>
  <c r="Y169" i="5"/>
  <c r="Y71" i="5"/>
  <c r="Y223" i="5"/>
  <c r="Y246" i="5"/>
  <c r="Y252" i="5"/>
  <c r="Y65" i="5"/>
  <c r="Y109" i="5"/>
  <c r="Y195" i="5"/>
  <c r="Y265" i="5"/>
  <c r="Y77" i="5"/>
  <c r="Y108" i="5"/>
  <c r="Y281" i="5"/>
  <c r="Y36" i="5"/>
  <c r="Y115" i="5"/>
  <c r="Y148" i="5"/>
  <c r="Y150" i="5"/>
  <c r="Y247" i="5"/>
  <c r="Y123" i="5"/>
  <c r="Y42" i="5"/>
  <c r="Y194" i="5"/>
  <c r="Y208" i="5"/>
  <c r="Y204" i="5"/>
  <c r="Y52" i="5"/>
  <c r="Y227" i="5"/>
  <c r="Y89" i="5"/>
  <c r="Y239" i="5"/>
  <c r="Y155" i="5"/>
  <c r="Y256" i="5"/>
  <c r="Y118" i="5"/>
  <c r="Y99" i="5"/>
  <c r="Y98" i="5"/>
  <c r="Y184" i="5"/>
  <c r="Y140" i="5"/>
  <c r="Y173" i="5"/>
  <c r="Y153" i="5"/>
  <c r="Y127" i="5"/>
  <c r="Y158" i="5"/>
  <c r="Y237" i="5"/>
  <c r="Y222" i="5"/>
  <c r="Y216" i="5"/>
  <c r="Y215" i="5"/>
  <c r="Y171" i="5"/>
  <c r="Y233" i="5"/>
  <c r="Y17" i="5"/>
  <c r="Y11" i="5"/>
  <c r="Y143" i="5"/>
  <c r="Y146" i="5"/>
  <c r="Y86" i="5"/>
  <c r="Y213" i="5"/>
  <c r="Y66" i="5"/>
  <c r="Y145" i="5"/>
  <c r="Y14" i="5"/>
  <c r="Y141" i="5"/>
  <c r="Y220" i="5"/>
  <c r="Y274" i="5"/>
  <c r="Y111" i="5"/>
  <c r="Y206" i="5"/>
  <c r="Y72" i="5"/>
  <c r="Y179" i="5"/>
  <c r="Y41" i="5"/>
  <c r="Y269" i="5"/>
  <c r="Y112" i="5"/>
  <c r="Y6" i="5"/>
  <c r="Y197" i="5"/>
  <c r="Y250" i="5"/>
  <c r="Y180" i="5"/>
  <c r="Y28" i="5"/>
  <c r="Y178" i="5"/>
  <c r="Y151" i="5"/>
  <c r="Y176" i="5"/>
  <c r="Y12" i="5"/>
  <c r="Y200" i="5"/>
  <c r="Y242" i="5"/>
  <c r="Y282" i="5"/>
  <c r="Y95" i="5"/>
  <c r="Y114" i="5"/>
  <c r="Y266" i="5"/>
  <c r="Y152" i="5"/>
  <c r="Y268" i="5"/>
  <c r="Y3" i="5"/>
  <c r="Y170" i="5"/>
  <c r="Y285" i="5"/>
  <c r="Y16" i="5"/>
  <c r="Y218" i="5"/>
  <c r="Y122" i="5"/>
  <c r="Y31" i="5"/>
  <c r="Y190" i="5"/>
  <c r="Y275" i="5"/>
  <c r="Y209" i="5"/>
  <c r="Y4" i="5"/>
  <c r="Y251" i="5"/>
  <c r="Y139" i="5"/>
  <c r="Y64" i="5"/>
  <c r="Y165" i="5"/>
  <c r="Y18" i="5"/>
  <c r="Y232" i="5"/>
  <c r="Y278" i="5"/>
  <c r="Y166" i="5"/>
  <c r="Y56" i="5"/>
  <c r="Y162" i="5"/>
  <c r="Y199" i="5"/>
  <c r="Y85" i="5"/>
  <c r="Y20" i="5"/>
  <c r="Y177" i="5"/>
  <c r="Y60" i="5"/>
  <c r="Y10" i="5"/>
  <c r="Y224" i="5"/>
  <c r="Y83" i="5"/>
  <c r="Y276" i="5"/>
  <c r="Y202" i="5"/>
  <c r="Y103" i="5"/>
  <c r="Y262" i="5"/>
  <c r="Y283" i="5"/>
  <c r="Y217" i="5"/>
  <c r="Y183" i="5"/>
  <c r="Y46" i="5"/>
  <c r="Y62" i="5"/>
  <c r="Y253" i="5"/>
  <c r="Y185" i="5"/>
  <c r="Y79" i="5"/>
  <c r="Y13" i="5"/>
  <c r="Y132" i="5"/>
  <c r="Y271" i="5"/>
  <c r="Y159" i="5"/>
  <c r="Y182" i="5"/>
  <c r="Y267" i="5"/>
  <c r="Y273" i="5"/>
  <c r="Y192" i="5"/>
  <c r="Y54" i="5"/>
  <c r="Y245" i="5"/>
  <c r="Y34" i="5"/>
  <c r="Y40" i="5"/>
  <c r="Y124" i="5"/>
  <c r="Y8" i="5"/>
  <c r="Y63" i="5"/>
  <c r="Y69" i="5"/>
  <c r="Y228" i="5"/>
  <c r="Y154" i="5"/>
  <c r="Y255" i="5"/>
  <c r="Y156" i="5"/>
  <c r="Y257" i="5"/>
  <c r="Y22" i="5"/>
  <c r="Y149" i="5"/>
  <c r="Y280" i="5"/>
  <c r="Y53" i="5"/>
  <c r="Y144" i="5"/>
  <c r="Y67" i="5"/>
  <c r="Y73" i="5"/>
  <c r="Y175" i="5"/>
  <c r="Y258" i="5"/>
  <c r="Y272" i="5"/>
  <c r="Y186" i="5"/>
  <c r="Y87" i="5"/>
  <c r="Y19" i="5"/>
  <c r="Y129" i="5"/>
  <c r="Y102" i="5"/>
  <c r="Y174" i="5"/>
  <c r="Y259" i="5"/>
  <c r="Y57" i="5"/>
  <c r="Y30" i="5"/>
  <c r="Y157" i="5"/>
  <c r="Y33" i="5"/>
  <c r="Y101" i="5"/>
  <c r="Y240" i="5"/>
  <c r="Y2" i="5"/>
  <c r="Y168" i="5"/>
  <c r="Y210" i="5"/>
  <c r="Y142" i="5"/>
  <c r="Y270" i="5"/>
  <c r="Y138" i="5"/>
  <c r="Y198" i="5"/>
  <c r="Y219" i="5"/>
  <c r="Y167" i="5"/>
  <c r="Y68" i="5"/>
  <c r="Y147" i="5"/>
  <c r="Y248" i="5"/>
  <c r="Y229"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08" i="5"/>
  <c r="C108" i="24" s="1"/>
  <c r="C74" i="5"/>
  <c r="D74" i="1" s="1"/>
  <c r="C122" i="5"/>
  <c r="D122" i="1" s="1"/>
  <c r="C7" i="5"/>
  <c r="C7" i="24" s="1"/>
  <c r="C104" i="5"/>
  <c r="D104" i="1" s="1"/>
  <c r="C124" i="5"/>
  <c r="C124" i="24" s="1"/>
  <c r="C106" i="5"/>
  <c r="C106" i="24" s="1"/>
  <c r="C16" i="5"/>
  <c r="D16" i="1" s="1"/>
  <c r="C111" i="5"/>
  <c r="D111" i="1" s="1"/>
  <c r="C46" i="5"/>
  <c r="D46" i="1" s="1"/>
  <c r="C25" i="5"/>
  <c r="C25" i="24" s="1"/>
  <c r="C130" i="5"/>
  <c r="D130" i="1" s="1"/>
  <c r="C71" i="5"/>
  <c r="D71" i="1" s="1"/>
  <c r="C123" i="5"/>
  <c r="D123" i="1" s="1"/>
  <c r="C90" i="5"/>
  <c r="C90" i="24" s="1"/>
  <c r="C115" i="5"/>
  <c r="C115" i="24" s="1"/>
  <c r="C76" i="5"/>
  <c r="D76" i="1" s="1"/>
  <c r="C110" i="5"/>
  <c r="D110" i="1" s="1"/>
  <c r="C101" i="5"/>
  <c r="C101" i="24" s="1"/>
  <c r="C95" i="5"/>
  <c r="D95" i="1" s="1"/>
  <c r="C116" i="5"/>
  <c r="D116" i="1" s="1"/>
  <c r="C28" i="5"/>
  <c r="C28" i="24" s="1"/>
  <c r="C38" i="5"/>
  <c r="D38" i="1" s="1"/>
  <c r="C107" i="5"/>
  <c r="D107" i="1" s="1"/>
  <c r="C89" i="5"/>
  <c r="C89" i="24" s="1"/>
  <c r="C45" i="5"/>
  <c r="D45" i="1" s="1"/>
  <c r="C66" i="5"/>
  <c r="D66" i="1" s="1"/>
  <c r="C44" i="5"/>
  <c r="D44" i="1" s="1"/>
  <c r="C70" i="5"/>
  <c r="D70" i="1" s="1"/>
  <c r="C42" i="5"/>
  <c r="D42" i="1" s="1"/>
  <c r="C84" i="5"/>
  <c r="D84" i="1" s="1"/>
  <c r="C133" i="5"/>
  <c r="C133" i="24" s="1"/>
  <c r="C9" i="5"/>
  <c r="C9" i="24" s="1"/>
  <c r="C50" i="5"/>
  <c r="D50" i="1" s="1"/>
  <c r="C27" i="5"/>
  <c r="D27" i="1" s="1"/>
  <c r="C92" i="5"/>
  <c r="D92" i="1" s="1"/>
  <c r="C40" i="5"/>
  <c r="C40" i="24"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99" i="5"/>
  <c r="D99" i="1" s="1"/>
  <c r="C57" i="5"/>
  <c r="D57" i="1" s="1"/>
  <c r="C34" i="5"/>
  <c r="C34" i="24" s="1"/>
  <c r="C15" i="5"/>
  <c r="C15" i="24" s="1"/>
  <c r="C51" i="5"/>
  <c r="D51" i="1" s="1"/>
  <c r="C68" i="5"/>
  <c r="D68" i="1" s="1"/>
  <c r="C85" i="5"/>
  <c r="D85" i="1" s="1"/>
  <c r="C3" i="5"/>
  <c r="D3" i="1" s="1"/>
  <c r="C131" i="5"/>
  <c r="D131" i="1" s="1"/>
  <c r="C132" i="5"/>
  <c r="D132" i="1" s="1"/>
  <c r="C43" i="5"/>
  <c r="C43" i="24" s="1"/>
  <c r="C4" i="5"/>
  <c r="D4" i="1" s="1"/>
  <c r="C10" i="5"/>
  <c r="D10" i="1" s="1"/>
  <c r="C69" i="5"/>
  <c r="D69" i="1" s="1"/>
  <c r="C13" i="5"/>
  <c r="D13" i="1" s="1"/>
  <c r="C39" i="5"/>
  <c r="D39" i="1" s="1"/>
  <c r="C18" i="5"/>
  <c r="D18" i="1" s="1"/>
  <c r="C120" i="5"/>
  <c r="C120" i="24" s="1"/>
  <c r="C36" i="5"/>
  <c r="D36" i="1" s="1"/>
  <c r="C128" i="5"/>
  <c r="C128" i="24" s="1"/>
  <c r="C109" i="5"/>
  <c r="D109" i="1" s="1"/>
  <c r="C52" i="5"/>
  <c r="C52" i="24" s="1"/>
  <c r="C17" i="5"/>
  <c r="D17" i="1" s="1"/>
  <c r="C26" i="5"/>
  <c r="D26" i="1" s="1"/>
  <c r="C11" i="5"/>
  <c r="D11" i="1" s="1"/>
  <c r="C121" i="5"/>
  <c r="C121" i="24" s="1"/>
  <c r="AB111" i="5"/>
  <c r="AB23" i="5"/>
  <c r="AB42" i="5"/>
  <c r="AB87" i="5"/>
  <c r="AB65" i="5"/>
  <c r="AB17" i="5"/>
  <c r="AB88" i="5"/>
  <c r="AB74" i="5"/>
  <c r="AB125" i="5"/>
  <c r="AB20"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61" i="5"/>
  <c r="AB105" i="5"/>
  <c r="AB95" i="5"/>
  <c r="AB129" i="5"/>
  <c r="AB3" i="5"/>
  <c r="AB43" i="5"/>
  <c r="AB102" i="5"/>
  <c r="AB126" i="5"/>
  <c r="AB62" i="5"/>
  <c r="AB63" i="5"/>
  <c r="AB128" i="5"/>
  <c r="AB13" i="5"/>
  <c r="AB76" i="5"/>
  <c r="AB22" i="5"/>
  <c r="AB81" i="5"/>
  <c r="AB83" i="5"/>
  <c r="AB85" i="5"/>
  <c r="AB84" i="5"/>
  <c r="R10" i="5"/>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S38" i="5"/>
  <c r="S28" i="5"/>
  <c r="AB50" i="5"/>
  <c r="AB30" i="5"/>
  <c r="AB37" i="5"/>
  <c r="AB39" i="5"/>
  <c r="AB57" i="5"/>
  <c r="S17" i="5"/>
  <c r="S12" i="5"/>
  <c r="S22" i="5"/>
  <c r="AB110" i="5"/>
  <c r="AB2" i="5"/>
  <c r="AB121" i="5"/>
  <c r="AB92" i="5"/>
  <c r="AB132" i="5"/>
  <c r="AB66" i="5"/>
  <c r="AB26" i="5"/>
  <c r="AB12" i="5"/>
  <c r="AB41" i="5"/>
  <c r="AB27" i="5"/>
  <c r="AB51" i="5"/>
  <c r="AB100" i="5"/>
  <c r="AB36" i="5"/>
  <c r="AB133" i="5"/>
  <c r="AB14" i="5"/>
  <c r="AB8" i="5"/>
  <c r="AB35" i="5"/>
  <c r="AB130" i="5"/>
  <c r="AB38" i="5"/>
  <c r="AB116" i="5"/>
  <c r="AB89" i="5"/>
  <c r="AB56" i="5"/>
  <c r="S34" i="5"/>
  <c r="S27" i="5"/>
  <c r="S44" i="5"/>
  <c r="S14" i="5"/>
  <c r="S26" i="5"/>
  <c r="S25" i="5"/>
  <c r="S47" i="5"/>
  <c r="S41" i="5"/>
  <c r="S35" i="5"/>
  <c r="K99" i="5"/>
  <c r="K37"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S108" i="5"/>
  <c r="L3" i="5"/>
  <c r="D3" i="5" s="1"/>
  <c r="K58" i="5"/>
  <c r="L120" i="5"/>
  <c r="D120" i="5" s="1"/>
  <c r="L80" i="5"/>
  <c r="D80" i="5" s="1"/>
  <c r="S109" i="5"/>
  <c r="L37" i="5"/>
  <c r="D37" i="5" s="1"/>
  <c r="K130" i="5"/>
  <c r="K11" i="5"/>
  <c r="S101" i="5"/>
  <c r="L48" i="5"/>
  <c r="D48" i="5" s="1"/>
  <c r="K132" i="5"/>
  <c r="K3" i="5"/>
  <c r="K35" i="5"/>
  <c r="L35" i="5"/>
  <c r="D35" i="5" s="1"/>
  <c r="S132" i="5"/>
  <c r="S115" i="5"/>
  <c r="K19"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L29" i="5"/>
  <c r="D29" i="5" s="1"/>
  <c r="K126" i="5"/>
  <c r="K9" i="5"/>
  <c r="K15" i="5"/>
  <c r="L5" i="5"/>
  <c r="D5"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1" i="5"/>
  <c r="L62" i="5"/>
  <c r="D62" i="5" s="1"/>
  <c r="L13" i="5"/>
  <c r="D13" i="5" s="1"/>
  <c r="K86" i="5"/>
  <c r="L93" i="5"/>
  <c r="D93" i="5" s="1"/>
  <c r="L90" i="5"/>
  <c r="D90" i="5" s="1"/>
  <c r="L33" i="5"/>
  <c r="D33" i="5" s="1"/>
  <c r="K67" i="5"/>
  <c r="S130" i="5"/>
  <c r="K70" i="5"/>
  <c r="K88" i="5"/>
  <c r="K26" i="5"/>
  <c r="K62" i="5"/>
  <c r="K29" i="5"/>
  <c r="L69" i="5"/>
  <c r="D69" i="5" s="1"/>
  <c r="L107" i="5"/>
  <c r="D107" i="5" s="1"/>
  <c r="K56" i="5"/>
  <c r="K7" i="5"/>
  <c r="K13" i="5"/>
  <c r="K105" i="5"/>
  <c r="K63" i="5"/>
  <c r="S125" i="5"/>
  <c r="K73" i="5"/>
  <c r="K96" i="5"/>
  <c r="S114" i="5"/>
  <c r="L31" i="5"/>
  <c r="D31" i="5" s="1"/>
  <c r="K91" i="5"/>
  <c r="K124" i="5"/>
  <c r="K57" i="5"/>
  <c r="L4" i="5"/>
  <c r="D4" i="5"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03" i="5"/>
  <c r="D103" i="5" s="1"/>
  <c r="K20" i="5"/>
  <c r="L75" i="5"/>
  <c r="D75" i="5" s="1"/>
  <c r="L122" i="5"/>
  <c r="D122" i="5" s="1"/>
  <c r="S106" i="5"/>
  <c r="K33" i="5"/>
  <c r="K114"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19" i="5"/>
  <c r="K28" i="5"/>
  <c r="S95" i="5"/>
  <c r="L26" i="5"/>
  <c r="D26" i="5" s="1"/>
  <c r="L111" i="5"/>
  <c r="D111" i="5" s="1"/>
  <c r="L2" i="5"/>
  <c r="D2" i="5" s="1"/>
  <c r="L67" i="5"/>
  <c r="D67" i="5" s="1"/>
  <c r="L57" i="5"/>
  <c r="D57" i="5" s="1"/>
  <c r="D57" i="24" s="1"/>
  <c r="L50" i="5"/>
  <c r="D50" i="5" s="1"/>
  <c r="L85" i="5"/>
  <c r="D85" i="5" s="1"/>
  <c r="S126" i="5"/>
  <c r="S104" i="5"/>
  <c r="K106" i="5"/>
  <c r="L28" i="5"/>
  <c r="D28" i="5" s="1"/>
  <c r="L49" i="5"/>
  <c r="D49" i="5" s="1"/>
  <c r="K25" i="5"/>
  <c r="L123" i="5"/>
  <c r="D123" i="5" s="1"/>
  <c r="L94" i="5"/>
  <c r="D94" i="5" s="1"/>
  <c r="S113" i="5"/>
  <c r="L53" i="5"/>
  <c r="D53" i="5" s="1"/>
  <c r="L32" i="5"/>
  <c r="D32" i="5" s="1"/>
  <c r="K64" i="5"/>
  <c r="K115" i="5"/>
  <c r="K113" i="5"/>
  <c r="K12" i="5"/>
  <c r="S107" i="5"/>
  <c r="L82" i="5"/>
  <c r="D82" i="5" s="1"/>
  <c r="K89" i="5"/>
  <c r="K72" i="5"/>
  <c r="K74" i="5"/>
  <c r="K6" i="5"/>
  <c r="L25" i="5"/>
  <c r="D25" i="5" s="1"/>
  <c r="L17" i="5"/>
  <c r="D17" i="5" s="1"/>
  <c r="L73" i="5"/>
  <c r="D73" i="5" s="1"/>
  <c r="K53" i="5"/>
  <c r="K97" i="5"/>
  <c r="K71" i="5"/>
  <c r="L15" i="5"/>
  <c r="D15" i="5" s="1"/>
  <c r="L39" i="5"/>
  <c r="D39" i="5" s="1"/>
  <c r="K48" i="5"/>
  <c r="K85"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K38" i="5"/>
  <c r="K55" i="5"/>
  <c r="K46" i="5"/>
  <c r="K81" i="5"/>
  <c r="K54" i="5"/>
  <c r="L95" i="5"/>
  <c r="D95" i="5" s="1"/>
  <c r="L18" i="5"/>
  <c r="D18" i="5" s="1"/>
  <c r="D18" i="24" s="1"/>
  <c r="K51" i="5"/>
  <c r="K110" i="5"/>
  <c r="L125" i="5"/>
  <c r="D125" i="5" s="1"/>
  <c r="E125" i="1" s="1"/>
  <c r="F69" i="1"/>
  <c r="L126" i="5"/>
  <c r="D126" i="5" s="1"/>
  <c r="K69" i="5"/>
  <c r="S102" i="5"/>
  <c r="K14" i="5"/>
  <c r="K68" i="5"/>
  <c r="L45" i="5"/>
  <c r="D45" i="5" s="1"/>
  <c r="E45" i="1" s="1"/>
  <c r="K45" i="5"/>
  <c r="S133" i="5"/>
  <c r="L14" i="5"/>
  <c r="D14" i="5" s="1"/>
  <c r="D14" i="24" s="1"/>
  <c r="K47" i="5"/>
  <c r="L81" i="5"/>
  <c r="D81" i="5" s="1"/>
  <c r="E81" i="1" s="1"/>
  <c r="K83" i="5"/>
  <c r="K5" i="5"/>
  <c r="L110" i="5"/>
  <c r="D110" i="5" s="1"/>
  <c r="E110" i="1" s="1"/>
  <c r="AB73" i="5"/>
  <c r="AB25" i="5"/>
  <c r="AB64" i="5"/>
  <c r="AB4" i="5"/>
  <c r="AB127" i="5"/>
  <c r="AB18" i="5"/>
  <c r="AB49" i="5"/>
  <c r="AB9" i="5"/>
  <c r="AB16" i="5"/>
  <c r="AB5" i="5"/>
  <c r="AB108" i="5"/>
  <c r="AB113" i="5"/>
  <c r="AB120" i="5"/>
  <c r="AB77" i="5"/>
  <c r="AB114" i="5"/>
  <c r="AB119" i="5"/>
  <c r="AB79" i="5"/>
  <c r="AB109" i="5"/>
  <c r="F97" i="1"/>
  <c r="AB99" i="5"/>
  <c r="AB44" i="5"/>
  <c r="AB115" i="5"/>
  <c r="AB19" i="5"/>
  <c r="AB101" i="5"/>
  <c r="AB45" i="5"/>
  <c r="AB46" i="5"/>
  <c r="L38" i="5"/>
  <c r="D38" i="5" s="1"/>
  <c r="E38" i="1" s="1"/>
  <c r="L68" i="5"/>
  <c r="D68" i="5" s="1"/>
  <c r="D68" i="24" s="1"/>
  <c r="AB107" i="5"/>
  <c r="AB40" i="5"/>
  <c r="AB75" i="5"/>
  <c r="AB21" i="5"/>
  <c r="AB52" i="5"/>
  <c r="AB131" i="5"/>
  <c r="AB55" i="5"/>
  <c r="AB123" i="5"/>
  <c r="AB122" i="5"/>
  <c r="AB118" i="5"/>
  <c r="AB78" i="5"/>
  <c r="AB112" i="5"/>
  <c r="AB11" i="5"/>
  <c r="F102" i="1"/>
  <c r="AB58" i="5"/>
  <c r="AB32" i="5"/>
  <c r="AB10" i="5"/>
  <c r="AB98" i="5"/>
  <c r="F111" i="1"/>
  <c r="F59" i="1"/>
  <c r="F64" i="1"/>
  <c r="F57" i="1"/>
  <c r="F77" i="1"/>
  <c r="K125" i="5"/>
  <c r="L83" i="5"/>
  <c r="D83" i="5" s="1"/>
  <c r="E83" i="1" s="1"/>
  <c r="L27" i="5"/>
  <c r="D27" i="5" s="1"/>
  <c r="E27" i="1" s="1"/>
  <c r="F74" i="1"/>
  <c r="L127" i="5"/>
  <c r="D127" i="5" s="1"/>
  <c r="E127" i="1" s="1"/>
  <c r="K127" i="5"/>
  <c r="F91" i="1"/>
  <c r="F21" i="1"/>
  <c r="F89" i="1"/>
  <c r="K76" i="5"/>
  <c r="L47" i="5"/>
  <c r="D47" i="5" s="1"/>
  <c r="E47" i="1" s="1"/>
  <c r="K18" i="5"/>
  <c r="F6" i="1"/>
  <c r="F67" i="1"/>
  <c r="F38" i="1"/>
  <c r="F128" i="1"/>
  <c r="F40" i="1"/>
  <c r="F76" i="1"/>
  <c r="L76" i="5"/>
  <c r="D76" i="5" s="1"/>
  <c r="E76" i="1" s="1"/>
  <c r="K27" i="5"/>
  <c r="F28" i="1"/>
  <c r="F52" i="1"/>
  <c r="F8" i="1"/>
  <c r="F104" i="1"/>
  <c r="F99" i="1"/>
  <c r="F25" i="1"/>
  <c r="F35" i="1"/>
  <c r="F87" i="1"/>
  <c r="F112" i="1"/>
  <c r="F23" i="1"/>
  <c r="F37" i="1"/>
  <c r="F2" i="1"/>
  <c r="F88" i="1"/>
  <c r="F48" i="1"/>
  <c r="F7" i="1"/>
  <c r="F44" i="1"/>
  <c r="F114" i="1"/>
  <c r="F4" i="1"/>
  <c r="F90" i="1"/>
  <c r="F34" i="1"/>
  <c r="F72" i="1"/>
  <c r="F66" i="1"/>
  <c r="F79" i="1"/>
  <c r="F65" i="1"/>
  <c r="F31" i="1"/>
  <c r="F18" i="1"/>
  <c r="F61" i="1"/>
  <c r="F68" i="1"/>
  <c r="F22" i="1"/>
  <c r="F10" i="1"/>
  <c r="F101" i="1"/>
  <c r="F126" i="1"/>
  <c r="F49" i="1"/>
  <c r="F82" i="1"/>
  <c r="F81" i="1"/>
  <c r="F24" i="1"/>
  <c r="F32" i="1"/>
  <c r="F26" i="1"/>
  <c r="F84" i="1"/>
  <c r="F51" i="1"/>
  <c r="F117" i="1"/>
  <c r="F131" i="1"/>
  <c r="F39" i="1"/>
  <c r="F121" i="1"/>
  <c r="F73" i="1"/>
  <c r="F100" i="1"/>
  <c r="F47" i="1"/>
  <c r="F11" i="1"/>
  <c r="F113" i="1"/>
  <c r="F70" i="1"/>
  <c r="F62" i="1"/>
  <c r="F93" i="1"/>
  <c r="F41" i="1"/>
  <c r="F116" i="1"/>
  <c r="F105" i="1"/>
  <c r="F20" i="1"/>
  <c r="F46" i="1"/>
  <c r="F45" i="1"/>
  <c r="F98" i="1"/>
  <c r="F115" i="1"/>
  <c r="F13" i="1"/>
  <c r="F9" i="1"/>
  <c r="F12" i="1"/>
  <c r="F108" i="1"/>
  <c r="F53" i="1"/>
  <c r="F19" i="1"/>
  <c r="F86" i="1"/>
  <c r="F110" i="1"/>
  <c r="F27" i="1"/>
  <c r="F132" i="1"/>
  <c r="F33" i="1"/>
  <c r="F129" i="1"/>
  <c r="F54" i="1"/>
  <c r="F80" i="1"/>
  <c r="F119" i="1"/>
  <c r="F103" i="1"/>
  <c r="F63" i="1"/>
  <c r="F127" i="1"/>
  <c r="F133" i="1"/>
  <c r="F122" i="1"/>
  <c r="F120" i="1"/>
  <c r="F107" i="1"/>
  <c r="F60" i="1"/>
  <c r="F15" i="1"/>
  <c r="F124" i="1"/>
  <c r="F83" i="1"/>
  <c r="F123" i="1"/>
  <c r="F95" i="1"/>
  <c r="F75" i="1"/>
  <c r="F50" i="1"/>
  <c r="F78" i="1"/>
  <c r="F92" i="1"/>
  <c r="F94" i="1"/>
  <c r="F30" i="1"/>
  <c r="F3" i="1"/>
  <c r="F29" i="1"/>
  <c r="F106" i="1"/>
  <c r="F36" i="1"/>
  <c r="F130" i="1"/>
  <c r="F16" i="1"/>
  <c r="F43"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N19" i="34" l="1"/>
  <c r="X138" i="1"/>
  <c r="Z47" i="1" s="1"/>
  <c r="AC47" i="1" s="1"/>
  <c r="W47" i="1"/>
  <c r="AK47" i="1" s="1"/>
  <c r="X139" i="1"/>
  <c r="AA47" i="1" s="1"/>
  <c r="AD47" i="1" s="1"/>
  <c r="AG47" i="1" s="1"/>
  <c r="X135" i="1"/>
  <c r="Z46" i="1" s="1"/>
  <c r="X136" i="1"/>
  <c r="AA46" i="1" s="1"/>
  <c r="J134" i="3"/>
  <c r="J136" i="3"/>
  <c r="J138" i="3"/>
  <c r="J139" i="3"/>
  <c r="J135" i="3"/>
  <c r="J137" i="3"/>
  <c r="S10" i="5"/>
  <c r="X134" i="1"/>
  <c r="Y46" i="1" s="1"/>
  <c r="W46" i="1"/>
  <c r="AK46" i="1" s="1"/>
  <c r="J103" i="3"/>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6" i="3"/>
  <c r="J14" i="3"/>
  <c r="J65" i="3"/>
  <c r="J75" i="3"/>
  <c r="J45" i="3"/>
  <c r="J108" i="3"/>
  <c r="J28" i="3"/>
  <c r="J59" i="3"/>
  <c r="J47" i="3"/>
  <c r="J39" i="3"/>
  <c r="J74" i="3"/>
  <c r="J110" i="3"/>
  <c r="J121" i="3"/>
  <c r="J40" i="3"/>
  <c r="J10" i="3"/>
  <c r="J49" i="3"/>
  <c r="J13" i="3"/>
  <c r="J123" i="3"/>
  <c r="J42" i="3"/>
  <c r="D88" i="1"/>
  <c r="J71" i="3"/>
  <c r="J56" i="3"/>
  <c r="J99" i="3"/>
  <c r="J114" i="3"/>
  <c r="J116" i="3"/>
  <c r="J67" i="3"/>
  <c r="J54" i="3"/>
  <c r="J129" i="3"/>
  <c r="C132" i="24"/>
  <c r="D108" i="1"/>
  <c r="C84" i="24"/>
  <c r="D62" i="1"/>
  <c r="C123" i="24"/>
  <c r="D6" i="1"/>
  <c r="D97" i="1"/>
  <c r="D112" i="1"/>
  <c r="C51" i="24"/>
  <c r="D78" i="1"/>
  <c r="C8" i="24"/>
  <c r="C66" i="24"/>
  <c r="D124" i="1"/>
  <c r="D106" i="1"/>
  <c r="C44" i="24"/>
  <c r="D120" i="1"/>
  <c r="D133" i="1"/>
  <c r="C131" i="24"/>
  <c r="D55" i="1"/>
  <c r="D7" i="1"/>
  <c r="C19" i="24"/>
  <c r="C26" i="24"/>
  <c r="C105" i="24"/>
  <c r="C21" i="24"/>
  <c r="D129" i="1"/>
  <c r="C63" i="24"/>
  <c r="C11" i="24"/>
  <c r="D34" i="1"/>
  <c r="C116" i="24"/>
  <c r="D22" i="1"/>
  <c r="C10"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22" i="3"/>
  <c r="J22" i="3"/>
  <c r="J83" i="3"/>
  <c r="J20" i="3"/>
  <c r="J88" i="3"/>
  <c r="J117" i="3"/>
  <c r="J79" i="3"/>
  <c r="J46" i="3"/>
  <c r="J64" i="3"/>
  <c r="J101" i="3"/>
  <c r="J38" i="3"/>
  <c r="J93" i="3"/>
  <c r="J112" i="3"/>
  <c r="J51" i="3"/>
  <c r="J126" i="3"/>
  <c r="J48" i="3"/>
  <c r="J52" i="3"/>
  <c r="J61" i="3"/>
  <c r="J25" i="3"/>
  <c r="J19" i="3"/>
  <c r="C104" i="24"/>
  <c r="R20" i="34"/>
  <c r="D40" i="1"/>
  <c r="C111" i="24"/>
  <c r="D52" i="1"/>
  <c r="D12" i="1"/>
  <c r="C85" i="24"/>
  <c r="D48" i="1"/>
  <c r="C46" i="24"/>
  <c r="C61" i="24"/>
  <c r="D89" i="1"/>
  <c r="C93" i="24"/>
  <c r="D25" i="1"/>
  <c r="D67" i="1"/>
  <c r="C49" i="24"/>
  <c r="C119" i="24"/>
  <c r="C95" i="24"/>
  <c r="D15" i="1"/>
  <c r="C13" i="24"/>
  <c r="D20" i="1"/>
  <c r="C70" i="24"/>
  <c r="D23" i="1"/>
  <c r="C102" i="24"/>
  <c r="C75" i="24"/>
  <c r="C117" i="24"/>
  <c r="C65" i="24"/>
  <c r="C94" i="24"/>
  <c r="C60" i="24"/>
  <c r="C36" i="24"/>
  <c r="D79" i="1"/>
  <c r="C92" i="24"/>
  <c r="C96" i="24"/>
  <c r="C107" i="24"/>
  <c r="D9" i="1"/>
  <c r="O17" i="6"/>
  <c r="D101" i="1"/>
  <c r="C29" i="24"/>
  <c r="C77" i="24"/>
  <c r="D53" i="1"/>
  <c r="C31" i="24"/>
  <c r="D73" i="1"/>
  <c r="D32" i="1"/>
  <c r="D2" i="1"/>
  <c r="C64" i="24"/>
  <c r="C74" i="24"/>
  <c r="D43" i="1"/>
  <c r="C3" i="24"/>
  <c r="C86" i="24"/>
  <c r="D28" i="55"/>
  <c r="D21" i="55"/>
  <c r="D8" i="55"/>
  <c r="C4" i="24"/>
  <c r="D91" i="1"/>
  <c r="D28"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22" i="24"/>
  <c r="C76" i="24"/>
  <c r="D35" i="55"/>
  <c r="D42" i="55"/>
  <c r="D7" i="55"/>
  <c r="D49" i="55"/>
  <c r="D14" i="55"/>
  <c r="D6" i="55"/>
  <c r="C16" i="24"/>
  <c r="D90" i="1"/>
  <c r="D58" i="24"/>
  <c r="D115" i="1"/>
  <c r="C127" i="24"/>
  <c r="C125" i="24"/>
  <c r="D114" i="1"/>
  <c r="E57" i="1"/>
  <c r="X57" i="1" s="1"/>
  <c r="Z20" i="1" s="1"/>
  <c r="AC20" i="1" s="1"/>
  <c r="D98"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E68" i="1"/>
  <c r="X68" i="1" s="1"/>
  <c r="Y24" i="1" s="1"/>
  <c r="D47" i="1"/>
  <c r="C27" i="24"/>
  <c r="W38" i="1"/>
  <c r="D110" i="24"/>
  <c r="X38" i="1"/>
  <c r="Y14" i="1" s="1"/>
  <c r="AB14" i="1" s="1"/>
  <c r="D38" i="24"/>
  <c r="X83" i="1"/>
  <c r="Y29" i="1" s="1"/>
  <c r="AB29" i="1" s="1"/>
  <c r="D83" i="24"/>
  <c r="C41" i="24"/>
  <c r="W22" i="1"/>
  <c r="C38" i="24"/>
  <c r="C18" i="24"/>
  <c r="D58" i="1"/>
  <c r="C14" i="24"/>
  <c r="D47" i="24"/>
  <c r="X110" i="1"/>
  <c r="Y38" i="1" s="1"/>
  <c r="AB38" i="1" s="1"/>
  <c r="D27" i="24"/>
  <c r="C57" i="24"/>
  <c r="W31" i="1"/>
  <c r="W26" i="1"/>
  <c r="W3" i="1"/>
  <c r="D76" i="24"/>
  <c r="W14" i="1"/>
  <c r="W13" i="1"/>
  <c r="D56" i="1"/>
  <c r="W27" i="1"/>
  <c r="W2" i="1"/>
  <c r="AK2" i="1" s="1"/>
  <c r="W30" i="1"/>
  <c r="W34" i="1"/>
  <c r="W35" i="1"/>
  <c r="W9" i="1"/>
  <c r="W18" i="1"/>
  <c r="W8" i="1"/>
  <c r="W23" i="1"/>
  <c r="W4" i="1"/>
  <c r="W21" i="1"/>
  <c r="W24" i="1"/>
  <c r="W17" i="1"/>
  <c r="W25" i="1"/>
  <c r="W12" i="1"/>
  <c r="W28" i="1"/>
  <c r="W10" i="1"/>
  <c r="W36" i="1"/>
  <c r="W39" i="1"/>
  <c r="W40" i="1"/>
  <c r="W5" i="1"/>
  <c r="W7" i="1"/>
  <c r="W16" i="1"/>
  <c r="W6" i="1"/>
  <c r="W41" i="1"/>
  <c r="W43" i="1"/>
  <c r="AK43" i="1" s="1"/>
  <c r="W15" i="1"/>
  <c r="W45" i="1"/>
  <c r="W44" i="1"/>
  <c r="W29" i="1"/>
  <c r="W42" i="1"/>
  <c r="W33" i="1"/>
  <c r="W37" i="1"/>
  <c r="W19" i="1"/>
  <c r="W32" i="1"/>
  <c r="W20" i="1"/>
  <c r="W11" i="1"/>
  <c r="P3" i="6"/>
  <c r="O3" i="6"/>
  <c r="N3" i="6"/>
  <c r="Q3" i="6" s="1"/>
  <c r="X115" i="1"/>
  <c r="AA39" i="1" s="1"/>
  <c r="AD39" i="1" s="1"/>
  <c r="X114" i="1"/>
  <c r="Z39" i="1" s="1"/>
  <c r="AC39"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37" i="1"/>
  <c r="D37" i="24"/>
  <c r="E28" i="1"/>
  <c r="D28" i="24"/>
  <c r="E80" i="1"/>
  <c r="D80" i="24"/>
  <c r="E128" i="1"/>
  <c r="D128" i="24"/>
  <c r="E78" i="1"/>
  <c r="D78" i="24"/>
  <c r="E106" i="1"/>
  <c r="D106" i="24"/>
  <c r="E122" i="1"/>
  <c r="D122" i="24"/>
  <c r="E124" i="1"/>
  <c r="D124"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44" i="1"/>
  <c r="D44" i="24"/>
  <c r="X27" i="1"/>
  <c r="Z10" i="1" s="1"/>
  <c r="E85" i="1"/>
  <c r="D85" i="24"/>
  <c r="E75" i="1"/>
  <c r="D75" i="24"/>
  <c r="E118" i="1"/>
  <c r="D118" i="24"/>
  <c r="E20" i="1"/>
  <c r="D20" i="24"/>
  <c r="E36" i="1"/>
  <c r="D36" i="24"/>
  <c r="E24" i="1"/>
  <c r="D24" i="24"/>
  <c r="E132" i="1"/>
  <c r="D132" i="24"/>
  <c r="X76" i="1"/>
  <c r="AA26" i="1" s="1"/>
  <c r="E90" i="1"/>
  <c r="D90" i="24"/>
  <c r="E105" i="1"/>
  <c r="D105" i="24"/>
  <c r="E65" i="1"/>
  <c r="D65" i="24"/>
  <c r="E62" i="1"/>
  <c r="D62"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94" i="1"/>
  <c r="D94" i="24"/>
  <c r="E49" i="1"/>
  <c r="D49" i="24"/>
  <c r="E89" i="1"/>
  <c r="D89" i="24"/>
  <c r="E4" i="1"/>
  <c r="D4" i="24"/>
  <c r="M138" i="5" l="1"/>
  <c r="E138" i="5" s="1"/>
  <c r="M137" i="5"/>
  <c r="G137" i="1" s="1"/>
  <c r="H137" i="1" s="1"/>
  <c r="J47" i="1" s="1"/>
  <c r="AE47" i="1"/>
  <c r="AH47" i="1" s="1"/>
  <c r="AF47" i="1"/>
  <c r="M134" i="5"/>
  <c r="E134" i="5" s="1"/>
  <c r="M135" i="5"/>
  <c r="E135" i="5" s="1"/>
  <c r="AD46" i="1"/>
  <c r="AG46" i="1" s="1"/>
  <c r="AC46" i="1"/>
  <c r="AF46" i="1" s="1"/>
  <c r="M136" i="5"/>
  <c r="E136" i="5" s="1"/>
  <c r="M139" i="5"/>
  <c r="G138" i="1"/>
  <c r="H138" i="1" s="1"/>
  <c r="K47" i="1" s="1"/>
  <c r="N138" i="5"/>
  <c r="AB46" i="1"/>
  <c r="AE46" i="1" s="1"/>
  <c r="AH46" i="1" s="1"/>
  <c r="N17" i="6"/>
  <c r="Q17" i="6" s="1"/>
  <c r="P24" i="6"/>
  <c r="L27" i="6" s="1"/>
  <c r="P17" i="6"/>
  <c r="M88" i="5"/>
  <c r="G88" i="1" s="1"/>
  <c r="H88" i="1" s="1"/>
  <c r="L30" i="1" s="1"/>
  <c r="AK4" i="1"/>
  <c r="AK20" i="1"/>
  <c r="AK44" i="1"/>
  <c r="AK16" i="1"/>
  <c r="AK10" i="1"/>
  <c r="AK23" i="1"/>
  <c r="AK26" i="1"/>
  <c r="AK32" i="1"/>
  <c r="AK45" i="1"/>
  <c r="AK7" i="1"/>
  <c r="AK28" i="1"/>
  <c r="AK8" i="1"/>
  <c r="AK31" i="1"/>
  <c r="AK19" i="1"/>
  <c r="AK15" i="1"/>
  <c r="AK5" i="1"/>
  <c r="AK12" i="1"/>
  <c r="AK18" i="1"/>
  <c r="AK27" i="1"/>
  <c r="AK29" i="1"/>
  <c r="AK3" i="1"/>
  <c r="AK40" i="1"/>
  <c r="AK25" i="1"/>
  <c r="AK9" i="1"/>
  <c r="AK30" i="1"/>
  <c r="AK37" i="1"/>
  <c r="AK41" i="1"/>
  <c r="AK17" i="1"/>
  <c r="AK35" i="1"/>
  <c r="AK13" i="1"/>
  <c r="AK22" i="1"/>
  <c r="AK38" i="1"/>
  <c r="AK33" i="1"/>
  <c r="AK6" i="1"/>
  <c r="AK39" i="1"/>
  <c r="AK24" i="1"/>
  <c r="AK34" i="1"/>
  <c r="AK14" i="1"/>
  <c r="AK11" i="1"/>
  <c r="AK42" i="1"/>
  <c r="AK36" i="1"/>
  <c r="AK21" i="1"/>
  <c r="M99" i="5"/>
  <c r="E99" i="5" s="1"/>
  <c r="E99" i="24" s="1"/>
  <c r="M27" i="5"/>
  <c r="G27" i="1" s="1"/>
  <c r="H27" i="1" s="1"/>
  <c r="K10" i="1" s="1"/>
  <c r="M87" i="5"/>
  <c r="G87" i="1" s="1"/>
  <c r="H87" i="1" s="1"/>
  <c r="K30" i="1" s="1"/>
  <c r="M107" i="5"/>
  <c r="G107" i="1" s="1"/>
  <c r="M86" i="5"/>
  <c r="G86" i="1" s="1"/>
  <c r="M108" i="5"/>
  <c r="G108" i="1" s="1"/>
  <c r="H108" i="1" s="1"/>
  <c r="K37" i="1" s="1"/>
  <c r="M51" i="5"/>
  <c r="G51" i="1" s="1"/>
  <c r="H51" i="1" s="1"/>
  <c r="K18" i="1" s="1"/>
  <c r="M65" i="5"/>
  <c r="G65" i="1" s="1"/>
  <c r="M113" i="5"/>
  <c r="G113" i="1" s="1"/>
  <c r="M109" i="5"/>
  <c r="N109" i="5" s="1"/>
  <c r="M13" i="5"/>
  <c r="G13" i="1" s="1"/>
  <c r="H13" i="1" s="1"/>
  <c r="L5" i="1" s="1"/>
  <c r="M12" i="5"/>
  <c r="G12" i="1" s="1"/>
  <c r="H12" i="1" s="1"/>
  <c r="K5" i="1" s="1"/>
  <c r="M70" i="5"/>
  <c r="N70" i="5" s="1"/>
  <c r="M20" i="5"/>
  <c r="G2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35" i="5"/>
  <c r="G35" i="1" s="1"/>
  <c r="M52" i="5"/>
  <c r="G52" i="1" s="1"/>
  <c r="H52" i="1" s="1"/>
  <c r="L18" i="1" s="1"/>
  <c r="M118" i="5"/>
  <c r="G118" i="1" s="1"/>
  <c r="H118" i="1" s="1"/>
  <c r="L40" i="1" s="1"/>
  <c r="M28" i="5"/>
  <c r="G28" i="1" s="1"/>
  <c r="H28" i="1" s="1"/>
  <c r="L10" i="1" s="1"/>
  <c r="M56" i="5"/>
  <c r="G56"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95" i="5"/>
  <c r="G95" i="1" s="1"/>
  <c r="M127" i="5"/>
  <c r="E127" i="5" s="1"/>
  <c r="E127" i="24" s="1"/>
  <c r="M32" i="5"/>
  <c r="G32" i="1" s="1"/>
  <c r="M23" i="5"/>
  <c r="G23" i="1" s="1"/>
  <c r="M6" i="5"/>
  <c r="G6" i="1" s="1"/>
  <c r="H6" i="1" s="1"/>
  <c r="K3" i="1" s="1"/>
  <c r="M74" i="5"/>
  <c r="G74" i="1" s="1"/>
  <c r="M66" i="5"/>
  <c r="G66" i="1" s="1"/>
  <c r="H66" i="1" s="1"/>
  <c r="K23" i="1" s="1"/>
  <c r="M69" i="5"/>
  <c r="G69" i="1" s="1"/>
  <c r="H69" i="1" s="1"/>
  <c r="M106" i="5"/>
  <c r="G106" i="1" s="1"/>
  <c r="H106" i="1" s="1"/>
  <c r="L36"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6" i="6"/>
  <c r="AF39" i="1"/>
  <c r="AG34" i="1"/>
  <c r="AG20" i="1"/>
  <c r="AF34" i="1"/>
  <c r="AF20" i="1"/>
  <c r="AE20" i="1"/>
  <c r="AH20" i="1" s="1"/>
  <c r="O5" i="55"/>
  <c r="R5" i="55" s="1"/>
  <c r="O19" i="55"/>
  <c r="Q40" i="55"/>
  <c r="O40" i="55"/>
  <c r="S40" i="55"/>
  <c r="O26" i="55"/>
  <c r="R26" i="55" s="1"/>
  <c r="Q12" i="55"/>
  <c r="O12" i="55"/>
  <c r="R12" i="55" s="1"/>
  <c r="S12" i="55"/>
  <c r="O33" i="55"/>
  <c r="R33" i="55" s="1"/>
  <c r="S33" i="55"/>
  <c r="Q33" i="55"/>
  <c r="O47" i="55"/>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36" i="1"/>
  <c r="Z13" i="1" s="1"/>
  <c r="X118" i="1"/>
  <c r="AA4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74" i="1"/>
  <c r="Y26" i="1" s="1"/>
  <c r="X107" i="1"/>
  <c r="Y37" i="1" s="1"/>
  <c r="X131" i="1"/>
  <c r="Y45" i="1" s="1"/>
  <c r="X64" i="1"/>
  <c r="AA22" i="1" s="1"/>
  <c r="X123" i="1"/>
  <c r="Z42" i="1" s="1"/>
  <c r="X41" i="1"/>
  <c r="Y15" i="1" s="1"/>
  <c r="X71" i="1"/>
  <c r="Y25" i="1" s="1"/>
  <c r="X119" i="1"/>
  <c r="Y41" i="1" s="1"/>
  <c r="X3" i="1"/>
  <c r="Z2" i="1" s="1"/>
  <c r="X32" i="1"/>
  <c r="Y12" i="1" s="1"/>
  <c r="X31" i="1"/>
  <c r="AA11"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63" i="1"/>
  <c r="Z22" i="1" s="1"/>
  <c r="X66" i="1"/>
  <c r="Z23" i="1" s="1"/>
  <c r="L19" i="55"/>
  <c r="R19" i="55"/>
  <c r="X80" i="1"/>
  <c r="Y28" i="1" s="1"/>
  <c r="X28" i="1"/>
  <c r="AA10" i="1" s="1"/>
  <c r="X43" i="1"/>
  <c r="AA15" i="1" s="1"/>
  <c r="X23" i="1"/>
  <c r="Y9" i="1" s="1"/>
  <c r="X21" i="1"/>
  <c r="Z8" i="1" s="1"/>
  <c r="AC16" i="1"/>
  <c r="X89" i="1"/>
  <c r="Y31" i="1" s="1"/>
  <c r="X49" i="1"/>
  <c r="AA17" i="1" s="1"/>
  <c r="X22" i="1"/>
  <c r="AA8" i="1" s="1"/>
  <c r="X87" i="1"/>
  <c r="Z30" i="1" s="1"/>
  <c r="X35" i="1"/>
  <c r="Y13" i="1" s="1"/>
  <c r="X86" i="1"/>
  <c r="Y30" i="1" s="1"/>
  <c r="X73" i="1"/>
  <c r="AA25" i="1" s="1"/>
  <c r="AD26" i="1"/>
  <c r="X132" i="1"/>
  <c r="Z45" i="1" s="1"/>
  <c r="AC10" i="1"/>
  <c r="X44" i="1"/>
  <c r="Y16" i="1" s="1"/>
  <c r="L5" i="55"/>
  <c r="X126" i="1"/>
  <c r="Z43" i="1" s="1"/>
  <c r="X122" i="1"/>
  <c r="Y42" i="1" s="1"/>
  <c r="X70" i="1"/>
  <c r="AA24" i="1" s="1"/>
  <c r="X9" i="1"/>
  <c r="Z4" i="1" s="1"/>
  <c r="X50" i="1"/>
  <c r="Y18" i="1" s="1"/>
  <c r="X8" i="1"/>
  <c r="Y4" i="1" s="1"/>
  <c r="N137" i="5" l="1"/>
  <c r="E137" i="5"/>
  <c r="AI47" i="1"/>
  <c r="G137" i="5" s="1"/>
  <c r="H138" i="5" s="1"/>
  <c r="G134" i="1"/>
  <c r="H134" i="1" s="1"/>
  <c r="J46" i="1" s="1"/>
  <c r="N134" i="5"/>
  <c r="G135" i="1"/>
  <c r="H135" i="1" s="1"/>
  <c r="K46" i="1" s="1"/>
  <c r="N46" i="1" s="1"/>
  <c r="G136" i="1"/>
  <c r="H136" i="1" s="1"/>
  <c r="L46" i="1" s="1"/>
  <c r="O46" i="1" s="1"/>
  <c r="N135" i="5"/>
  <c r="N136" i="5"/>
  <c r="M47" i="1"/>
  <c r="P47" i="1" s="1"/>
  <c r="N47" i="1"/>
  <c r="E139" i="5"/>
  <c r="G139" i="1"/>
  <c r="H139" i="1" s="1"/>
  <c r="L47" i="1" s="1"/>
  <c r="O47" i="1" s="1"/>
  <c r="R47" i="1" s="1"/>
  <c r="N139" i="5"/>
  <c r="AI46" i="1"/>
  <c r="G134" i="5" s="1"/>
  <c r="G18" i="1"/>
  <c r="H18" i="1" s="1"/>
  <c r="K7" i="1" s="1"/>
  <c r="N7" i="1" s="1"/>
  <c r="E18" i="5"/>
  <c r="E18" i="24" s="1"/>
  <c r="E88" i="5"/>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50" i="1"/>
  <c r="J18" i="1" s="1"/>
  <c r="M18" i="1" s="1"/>
  <c r="U18" i="1"/>
  <c r="H41" i="1"/>
  <c r="J15" i="1" s="1"/>
  <c r="H80" i="1"/>
  <c r="J28" i="1" s="1"/>
  <c r="M28" i="1" s="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H113" i="1"/>
  <c r="J39" i="1" s="1"/>
  <c r="M39" i="1" s="1"/>
  <c r="H107" i="1"/>
  <c r="J37" i="1" s="1"/>
  <c r="H77" i="1"/>
  <c r="J27" i="1" s="1"/>
  <c r="M27" i="1" s="1"/>
  <c r="U27" i="1"/>
  <c r="H35" i="1"/>
  <c r="J13" i="1" s="1"/>
  <c r="U13" i="1"/>
  <c r="H8" i="1"/>
  <c r="J4" i="1" s="1"/>
  <c r="M4" i="1" s="1"/>
  <c r="U4" i="1"/>
  <c r="H65" i="1"/>
  <c r="J23" i="1" s="1"/>
  <c r="U23" i="1"/>
  <c r="H59" i="1"/>
  <c r="J21" i="1" s="1"/>
  <c r="M21" i="1" s="1"/>
  <c r="U21" i="1"/>
  <c r="H74" i="1"/>
  <c r="J26" i="1" s="1"/>
  <c r="U26" i="1"/>
  <c r="H38" i="1"/>
  <c r="J14" i="1" s="1"/>
  <c r="M14" i="1" s="1"/>
  <c r="U14" i="1"/>
  <c r="H5" i="1"/>
  <c r="J3" i="1" s="1"/>
  <c r="M3" i="1" s="1"/>
  <c r="U3" i="1"/>
  <c r="H20" i="1"/>
  <c r="J8" i="1" s="1"/>
  <c r="U8" i="1"/>
  <c r="G99" i="1"/>
  <c r="H99" i="1" s="1"/>
  <c r="K34" i="1" s="1"/>
  <c r="N34" i="1" s="1"/>
  <c r="Q34" i="1" s="1"/>
  <c r="N99" i="5"/>
  <c r="N87" i="5"/>
  <c r="E87" i="5"/>
  <c r="E87" i="24" s="1"/>
  <c r="E27" i="5"/>
  <c r="E27" i="24" s="1"/>
  <c r="N27" i="5"/>
  <c r="G109" i="1"/>
  <c r="H109" i="1" s="1"/>
  <c r="L37" i="1" s="1"/>
  <c r="O37" i="1" s="1"/>
  <c r="N107" i="5"/>
  <c r="E107" i="5"/>
  <c r="E107" i="24" s="1"/>
  <c r="E65" i="5"/>
  <c r="E65" i="24" s="1"/>
  <c r="E51" i="5"/>
  <c r="E51" i="24" s="1"/>
  <c r="N108" i="5"/>
  <c r="E108" i="5"/>
  <c r="E108" i="24" s="1"/>
  <c r="N51" i="5"/>
  <c r="N65" i="5"/>
  <c r="N86" i="5"/>
  <c r="E86" i="5"/>
  <c r="E86" i="24" s="1"/>
  <c r="E109" i="5"/>
  <c r="E109" i="24" s="1"/>
  <c r="E113" i="5"/>
  <c r="E113" i="24" s="1"/>
  <c r="N113" i="5"/>
  <c r="N12" i="5"/>
  <c r="E13" i="5"/>
  <c r="E13" i="24" s="1"/>
  <c r="N13" i="5"/>
  <c r="E70" i="5"/>
  <c r="E70" i="24" s="1"/>
  <c r="E12" i="5"/>
  <c r="E12" i="24" s="1"/>
  <c r="G70" i="1"/>
  <c r="H70" i="1" s="1"/>
  <c r="L24" i="1" s="1"/>
  <c r="O24" i="1" s="1"/>
  <c r="N17" i="5"/>
  <c r="N20" i="5"/>
  <c r="E20" i="5"/>
  <c r="E20" i="24" s="1"/>
  <c r="N62" i="5"/>
  <c r="E62" i="5"/>
  <c r="E62" i="24" s="1"/>
  <c r="E55" i="5"/>
  <c r="E55" i="24" s="1"/>
  <c r="N55" i="5"/>
  <c r="E17" i="5"/>
  <c r="E17" i="24" s="1"/>
  <c r="N19" i="5"/>
  <c r="E19" i="5"/>
  <c r="E19" i="24" s="1"/>
  <c r="E80" i="5"/>
  <c r="E80" i="24" s="1"/>
  <c r="E110" i="5"/>
  <c r="E110" i="24" s="1"/>
  <c r="N49" i="5"/>
  <c r="E49" i="5"/>
  <c r="E49" i="24" s="1"/>
  <c r="N8" i="5"/>
  <c r="E8" i="5"/>
  <c r="E8"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E128" i="5"/>
  <c r="E128" i="24" s="1"/>
  <c r="N90" i="5"/>
  <c r="N128" i="5"/>
  <c r="N100" i="5"/>
  <c r="E100" i="5"/>
  <c r="E100" i="24" s="1"/>
  <c r="E117" i="5"/>
  <c r="E117" i="24" s="1"/>
  <c r="E90" i="5"/>
  <c r="E90" i="24" s="1"/>
  <c r="E96" i="5"/>
  <c r="E96" i="24" s="1"/>
  <c r="N97" i="5"/>
  <c r="N48" i="5"/>
  <c r="E97" i="5"/>
  <c r="E97" i="24" s="1"/>
  <c r="N59" i="5"/>
  <c r="N50" i="5"/>
  <c r="N18" i="5"/>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N118" i="5"/>
  <c r="N64" i="5"/>
  <c r="N78" i="5"/>
  <c r="N89" i="5"/>
  <c r="N61" i="5"/>
  <c r="E61" i="5"/>
  <c r="E61" i="24" s="1"/>
  <c r="E59" i="5"/>
  <c r="E59" i="24" s="1"/>
  <c r="N28" i="5"/>
  <c r="E28" i="5"/>
  <c r="E28" i="24" s="1"/>
  <c r="E116" i="5"/>
  <c r="E116" i="24" s="1"/>
  <c r="N35" i="5"/>
  <c r="E35" i="5"/>
  <c r="E35" i="24" s="1"/>
  <c r="E22" i="5"/>
  <c r="E22" i="24" s="1"/>
  <c r="E60" i="5"/>
  <c r="E60" i="24" s="1"/>
  <c r="E47" i="5"/>
  <c r="E47" i="24" s="1"/>
  <c r="N93" i="5"/>
  <c r="N56" i="5"/>
  <c r="E93" i="5"/>
  <c r="E93" i="24" s="1"/>
  <c r="E56" i="5"/>
  <c r="E56" i="24" s="1"/>
  <c r="E89" i="5"/>
  <c r="E89" i="24" s="1"/>
  <c r="N5" i="5"/>
  <c r="E5" i="5"/>
  <c r="E5" i="24" s="1"/>
  <c r="N92" i="5"/>
  <c r="E132" i="5"/>
  <c r="E132" i="24" s="1"/>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E53" i="5"/>
  <c r="E53" i="24" s="1"/>
  <c r="N115" i="5"/>
  <c r="N9" i="5"/>
  <c r="N126" i="5"/>
  <c r="N123" i="5"/>
  <c r="N15" i="5"/>
  <c r="E15" i="5"/>
  <c r="E15" i="24" s="1"/>
  <c r="N38" i="5"/>
  <c r="E69" i="5"/>
  <c r="E69" i="24" s="1"/>
  <c r="N85" i="5"/>
  <c r="E85" i="5"/>
  <c r="E85" i="24" s="1"/>
  <c r="N7" i="5"/>
  <c r="N120" i="5"/>
  <c r="E7" i="5"/>
  <c r="E7" i="24" s="1"/>
  <c r="E120" i="5"/>
  <c r="E120" i="24" s="1"/>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4" i="5"/>
  <c r="E4" i="24" s="1"/>
  <c r="N32" i="5"/>
  <c r="N104" i="5"/>
  <c r="E76" i="5"/>
  <c r="E76" i="24" s="1"/>
  <c r="N76" i="5"/>
  <c r="N23" i="5"/>
  <c r="E23" i="5"/>
  <c r="E23" i="24" s="1"/>
  <c r="E106" i="5"/>
  <c r="E106" i="24" s="1"/>
  <c r="E6" i="5"/>
  <c r="E6" i="24" s="1"/>
  <c r="E31" i="5"/>
  <c r="E31" i="24" s="1"/>
  <c r="E66" i="5"/>
  <c r="E66" i="24" s="1"/>
  <c r="N95" i="5"/>
  <c r="E95" i="5"/>
  <c r="E95"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L7" i="1"/>
  <c r="O7" i="1" s="1"/>
  <c r="L28" i="1"/>
  <c r="O10" i="1"/>
  <c r="O11" i="1"/>
  <c r="N3" i="1"/>
  <c r="Q3" i="1" s="1"/>
  <c r="N21" i="1"/>
  <c r="Q21" i="1" s="1"/>
  <c r="N40" i="1"/>
  <c r="Q40" i="1" s="1"/>
  <c r="O40" i="1"/>
  <c r="O42" i="1"/>
  <c r="O32" i="1"/>
  <c r="O13" i="1"/>
  <c r="O30" i="1"/>
  <c r="N42" i="1"/>
  <c r="Q42" i="1" s="1"/>
  <c r="N44" i="1"/>
  <c r="Q44" i="1" s="1"/>
  <c r="O22" i="1"/>
  <c r="N33" i="1"/>
  <c r="Q33" i="1" s="1"/>
  <c r="O16" i="1"/>
  <c r="N13" i="1"/>
  <c r="Q13" i="1" s="1"/>
  <c r="N18" i="1"/>
  <c r="Q18" i="1" s="1"/>
  <c r="O21" i="1"/>
  <c r="O18" i="1"/>
  <c r="O44" i="1"/>
  <c r="N32" i="1"/>
  <c r="Q32" i="1" s="1"/>
  <c r="AB16" i="1"/>
  <c r="AC30" i="1"/>
  <c r="AF30" i="1" s="1"/>
  <c r="AC12" i="1"/>
  <c r="AF12" i="1" s="1"/>
  <c r="N27" i="1"/>
  <c r="Q27"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8" i="1"/>
  <c r="AG8" i="1" s="1"/>
  <c r="AC8" i="1"/>
  <c r="AF8" i="1" s="1"/>
  <c r="O3" i="1"/>
  <c r="O33" i="1"/>
  <c r="AD12" i="1"/>
  <c r="AG12" i="1" s="1"/>
  <c r="AB2" i="1"/>
  <c r="N37" i="1"/>
  <c r="AB12" i="1"/>
  <c r="AC14" i="1"/>
  <c r="AE14" i="1"/>
  <c r="AH14" i="1" s="1"/>
  <c r="AE38" i="1"/>
  <c r="AH38" i="1" s="1"/>
  <c r="AC38" i="1"/>
  <c r="AC3" i="1"/>
  <c r="AF3" i="1" s="1"/>
  <c r="AC11" i="1"/>
  <c r="AF11" i="1" s="1"/>
  <c r="AB21" i="1"/>
  <c r="K17" i="1"/>
  <c r="AD32" i="1"/>
  <c r="AG32" i="1" s="1"/>
  <c r="O45" i="1"/>
  <c r="AB13" i="1"/>
  <c r="AB9" i="1"/>
  <c r="AF10" i="1"/>
  <c r="AD10" i="1"/>
  <c r="AG10" i="1" s="1"/>
  <c r="AD3" i="1"/>
  <c r="AG3" i="1" s="1"/>
  <c r="AD33" i="1"/>
  <c r="AG33" i="1" s="1"/>
  <c r="O12" i="1"/>
  <c r="AB19" i="1"/>
  <c r="AC15" i="1"/>
  <c r="AF15"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D21" i="1"/>
  <c r="AG21" i="1" s="1"/>
  <c r="AD41" i="1"/>
  <c r="AG41" i="1" s="1"/>
  <c r="AF7" i="1"/>
  <c r="AD7" i="1"/>
  <c r="AG7" i="1" s="1"/>
  <c r="N15"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N2" i="1"/>
  <c r="Q2" i="1" s="1"/>
  <c r="AD9" i="1"/>
  <c r="AG9" i="1" s="1"/>
  <c r="L19" i="1"/>
  <c r="AD18" i="1"/>
  <c r="AG18" i="1" s="1"/>
  <c r="AC19" i="1"/>
  <c r="AF19" i="1" s="1"/>
  <c r="AC33" i="1"/>
  <c r="AF33" i="1" s="1"/>
  <c r="AB10" i="1"/>
  <c r="AD36" i="1"/>
  <c r="AG36" i="1" s="1"/>
  <c r="AB22"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N5" i="1"/>
  <c r="Q5" i="1" s="1"/>
  <c r="O27" i="1"/>
  <c r="AJ47" i="5" l="1"/>
  <c r="Q46" i="1"/>
  <c r="U47" i="1"/>
  <c r="U46" i="1"/>
  <c r="Q47" i="1"/>
  <c r="S47" i="1"/>
  <c r="AJ18" i="5"/>
  <c r="H135" i="5"/>
  <c r="M46" i="1"/>
  <c r="P46" i="1" s="1"/>
  <c r="S46" i="1" s="1"/>
  <c r="R46" i="1"/>
  <c r="U7" i="1"/>
  <c r="R38" i="1"/>
  <c r="R25" i="1"/>
  <c r="R16" i="1"/>
  <c r="R7" i="1"/>
  <c r="R18" i="1"/>
  <c r="R10" i="1"/>
  <c r="R27" i="1"/>
  <c r="R20" i="1"/>
  <c r="R4" i="1"/>
  <c r="R42" i="1"/>
  <c r="R14" i="1"/>
  <c r="U37" i="1"/>
  <c r="R17" i="1"/>
  <c r="R21" i="1"/>
  <c r="U39" i="1"/>
  <c r="R30" i="1"/>
  <c r="R6" i="1"/>
  <c r="U41" i="1"/>
  <c r="P3" i="1"/>
  <c r="S3"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P20" i="1"/>
  <c r="U25" i="1"/>
  <c r="U28" i="1"/>
  <c r="U35" i="1"/>
  <c r="U9" i="1"/>
  <c r="H83" i="1"/>
  <c r="J29" i="1" s="1"/>
  <c r="M29" i="1" s="1"/>
  <c r="U29" i="1"/>
  <c r="H98" i="1"/>
  <c r="J34" i="1" s="1"/>
  <c r="M34" i="1" s="1"/>
  <c r="U34" i="1"/>
  <c r="P42" i="1"/>
  <c r="S42" i="1" s="1"/>
  <c r="P10" i="1"/>
  <c r="S10" i="1" s="1"/>
  <c r="R39" i="1"/>
  <c r="H29" i="1"/>
  <c r="J11" i="1" s="1"/>
  <c r="M11" i="1" s="1"/>
  <c r="U11" i="1"/>
  <c r="U20" i="1"/>
  <c r="U15" i="1"/>
  <c r="P30" i="1"/>
  <c r="S30" i="1" s="1"/>
  <c r="H68" i="1"/>
  <c r="J24" i="1" s="1"/>
  <c r="M24" i="1" s="1"/>
  <c r="P24" i="1" s="1"/>
  <c r="S24" i="1" s="1"/>
  <c r="U24" i="1"/>
  <c r="Q37" i="1"/>
  <c r="Q9" i="1"/>
  <c r="Q20" i="1"/>
  <c r="Q15" i="1"/>
  <c r="P25" i="1"/>
  <c r="S25" i="1" s="1"/>
  <c r="Q41" i="1"/>
  <c r="Q28" i="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35" i="1"/>
  <c r="AH35" i="1" s="1"/>
  <c r="AI35" i="1" s="1"/>
  <c r="G101" i="5" s="1"/>
  <c r="H102" i="5" s="1"/>
  <c r="G56" i="24"/>
  <c r="R26" i="1"/>
  <c r="M8" i="55"/>
  <c r="O8" i="55" s="1"/>
  <c r="M22" i="55"/>
  <c r="O22" i="55" s="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AE11" i="1"/>
  <c r="AH11" i="1" s="1"/>
  <c r="AE32" i="1"/>
  <c r="AH32"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AE9" i="1"/>
  <c r="AH9" i="1" s="1"/>
  <c r="AE36" i="1"/>
  <c r="AH36" i="1" s="1"/>
  <c r="R15" i="1"/>
  <c r="M15" i="1"/>
  <c r="AE12" i="1"/>
  <c r="AH12" i="1" s="1"/>
  <c r="T47" i="1" l="1"/>
  <c r="T46" i="1"/>
  <c r="T27" i="1"/>
  <c r="T28" i="1"/>
  <c r="S21" i="13" s="1"/>
  <c r="T16" i="1"/>
  <c r="T30" i="1"/>
  <c r="T2" i="1"/>
  <c r="R19" i="1"/>
  <c r="T21" i="1"/>
  <c r="T42" i="1"/>
  <c r="T4" i="1"/>
  <c r="P11" i="1"/>
  <c r="S11" i="1" s="1"/>
  <c r="T10" i="1"/>
  <c r="R34" i="1"/>
  <c r="T9" i="1"/>
  <c r="S42" i="13" s="1"/>
  <c r="R24" i="1"/>
  <c r="T24" i="1" s="1"/>
  <c r="S5" i="13" s="1"/>
  <c r="T18" i="1"/>
  <c r="S52" i="13" s="1"/>
  <c r="R29" i="1"/>
  <c r="P32" i="1"/>
  <c r="S32" i="1" s="1"/>
  <c r="P15" i="1"/>
  <c r="S15" i="1" s="1"/>
  <c r="P5" i="1"/>
  <c r="S5" i="1" s="1"/>
  <c r="R43" i="1"/>
  <c r="T43" i="1" s="1"/>
  <c r="S60" i="13" s="1"/>
  <c r="P33" i="1"/>
  <c r="S33" i="1" s="1"/>
  <c r="P26" i="1"/>
  <c r="S26" i="1" s="1"/>
  <c r="S20" i="1"/>
  <c r="T20" i="1" s="1"/>
  <c r="S50" i="13" s="1"/>
  <c r="P34" i="1"/>
  <c r="S34" i="1" s="1"/>
  <c r="P23" i="1"/>
  <c r="S23" i="1" s="1"/>
  <c r="T6" i="1"/>
  <c r="S13" i="13" s="1"/>
  <c r="T7" i="1"/>
  <c r="S34" i="13" s="1"/>
  <c r="P19" i="1"/>
  <c r="T3" i="1"/>
  <c r="P41" i="1"/>
  <c r="S41" i="1" s="1"/>
  <c r="T25" i="1"/>
  <c r="R11" i="1"/>
  <c r="T39" i="1"/>
  <c r="S25" i="13" s="1"/>
  <c r="P29" i="1"/>
  <c r="S29" i="1" s="1"/>
  <c r="P13" i="1"/>
  <c r="S13" i="1" s="1"/>
  <c r="T31" i="1"/>
  <c r="S22" i="13" s="1"/>
  <c r="M39" i="13"/>
  <c r="AI39" i="1"/>
  <c r="G113" i="5" s="1"/>
  <c r="H114" i="5" s="1"/>
  <c r="AI42" i="1"/>
  <c r="AI40" i="1"/>
  <c r="G116" i="5" s="1"/>
  <c r="H117" i="5" s="1"/>
  <c r="AI37" i="1"/>
  <c r="AI15" i="1"/>
  <c r="G41" i="5" s="1"/>
  <c r="AI33" i="1"/>
  <c r="AI32" i="1"/>
  <c r="AI28" i="1"/>
  <c r="AI31" i="1"/>
  <c r="AI5" i="1"/>
  <c r="G11" i="5" s="1"/>
  <c r="H12" i="5" s="1"/>
  <c r="AI22" i="1"/>
  <c r="G62" i="5" s="1"/>
  <c r="H63" i="5" s="1"/>
  <c r="AI25" i="1"/>
  <c r="G71" i="5" s="1"/>
  <c r="H72" i="5" s="1"/>
  <c r="AI23" i="1"/>
  <c r="G65" i="5" s="1"/>
  <c r="H66" i="5" s="1"/>
  <c r="AI8" i="1"/>
  <c r="G20" i="5" s="1"/>
  <c r="H21" i="5" s="1"/>
  <c r="AI27" i="1"/>
  <c r="AI19" i="1"/>
  <c r="G53" i="5" s="1"/>
  <c r="AI9" i="1"/>
  <c r="G23" i="5" s="1"/>
  <c r="H2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M52" i="13"/>
  <c r="G14" i="5"/>
  <c r="M55" i="13"/>
  <c r="P45" i="1"/>
  <c r="S45" i="1" s="1"/>
  <c r="P44" i="1"/>
  <c r="Q14" i="1"/>
  <c r="T14" i="1" s="1"/>
  <c r="S8" i="13" s="1"/>
  <c r="G47" i="24"/>
  <c r="M42" i="13"/>
  <c r="P22" i="1"/>
  <c r="G35" i="5"/>
  <c r="H36" i="5" s="1"/>
  <c r="Q17" i="1"/>
  <c r="M53" i="13" s="1"/>
  <c r="J6" i="54"/>
  <c r="D2" i="54"/>
  <c r="G83" i="5"/>
  <c r="H84" i="5" s="1"/>
  <c r="K6" i="54"/>
  <c r="P12" i="1"/>
  <c r="S12" i="1" s="1"/>
  <c r="P37" i="1"/>
  <c r="S37" i="1" s="1"/>
  <c r="G68" i="24"/>
  <c r="G101" i="24"/>
  <c r="M51" i="13"/>
  <c r="P35" i="1"/>
  <c r="P40" i="1"/>
  <c r="S40" i="1" s="1"/>
  <c r="M56" i="13"/>
  <c r="Q38" i="1"/>
  <c r="T38" i="1" s="1"/>
  <c r="S24" i="13" s="1"/>
  <c r="P8" i="1"/>
  <c r="G59" i="24"/>
  <c r="G44" i="5"/>
  <c r="H45" i="5" s="1"/>
  <c r="G38" i="24"/>
  <c r="G74" i="5"/>
  <c r="H75" i="5" s="1"/>
  <c r="P36" i="1"/>
  <c r="F8" i="5" l="1"/>
  <c r="F8" i="24" s="1"/>
  <c r="S64" i="13"/>
  <c r="F59" i="5"/>
  <c r="F59" i="24" s="1"/>
  <c r="S14" i="13"/>
  <c r="F2" i="5"/>
  <c r="F2" i="24" s="1"/>
  <c r="S17" i="13"/>
  <c r="F122" i="5"/>
  <c r="F122" i="24" s="1"/>
  <c r="S30" i="13"/>
  <c r="F71" i="5"/>
  <c r="F71" i="24" s="1"/>
  <c r="S36" i="13"/>
  <c r="F44" i="5"/>
  <c r="F44" i="24" s="1"/>
  <c r="S9" i="13"/>
  <c r="M18" i="13"/>
  <c r="S46" i="13"/>
  <c r="F77" i="5"/>
  <c r="F77" i="24" s="1"/>
  <c r="S18" i="13"/>
  <c r="F26" i="5"/>
  <c r="F26" i="24" s="1"/>
  <c r="S15" i="13"/>
  <c r="F5" i="5"/>
  <c r="F5" i="24" s="1"/>
  <c r="S28" i="13"/>
  <c r="F134" i="5"/>
  <c r="AE34" i="5" s="1"/>
  <c r="S27" i="13"/>
  <c r="F137" i="5"/>
  <c r="AE24" i="5" s="1"/>
  <c r="S29" i="13"/>
  <c r="AE15" i="13"/>
  <c r="G107" i="5"/>
  <c r="H108" i="5" s="1"/>
  <c r="G89" i="5"/>
  <c r="H90" i="5" s="1"/>
  <c r="G77" i="5"/>
  <c r="H78" i="5" s="1"/>
  <c r="G80" i="5"/>
  <c r="H81" i="5" s="1"/>
  <c r="G122" i="5"/>
  <c r="H123" i="5" s="1"/>
  <c r="G128" i="5"/>
  <c r="H129" i="5" s="1"/>
  <c r="G92" i="5"/>
  <c r="H93" i="5" s="1"/>
  <c r="G95" i="5"/>
  <c r="H96" i="5" s="1"/>
  <c r="G98" i="5"/>
  <c r="AJ28" i="5" s="1"/>
  <c r="G131" i="5"/>
  <c r="AJ29" i="5" s="1"/>
  <c r="G110" i="5"/>
  <c r="AJ2" i="5" s="1"/>
  <c r="T17" i="1"/>
  <c r="F47" i="5" s="1"/>
  <c r="M13" i="13"/>
  <c r="G125" i="24"/>
  <c r="H126" i="5"/>
  <c r="G14" i="24"/>
  <c r="H15" i="5"/>
  <c r="G41" i="24"/>
  <c r="H42" i="5"/>
  <c r="G8" i="24"/>
  <c r="H9" i="5"/>
  <c r="G53" i="24"/>
  <c r="H54" i="5"/>
  <c r="F86" i="5"/>
  <c r="F86" i="24" s="1"/>
  <c r="T11" i="1"/>
  <c r="F50" i="5"/>
  <c r="F50" i="24" s="1"/>
  <c r="M27" i="13"/>
  <c r="F89" i="5"/>
  <c r="F89" i="24" s="1"/>
  <c r="S19" i="1"/>
  <c r="T19" i="1" s="1"/>
  <c r="F56" i="5"/>
  <c r="F56" i="24" s="1"/>
  <c r="T29" i="1"/>
  <c r="S12" i="13" s="1"/>
  <c r="T32" i="1"/>
  <c r="S11" i="13" s="1"/>
  <c r="T33" i="1"/>
  <c r="T34" i="1"/>
  <c r="T23" i="1"/>
  <c r="T15" i="1"/>
  <c r="S62" i="13" s="1"/>
  <c r="T40" i="1"/>
  <c r="S4" i="13" s="1"/>
  <c r="T12" i="1"/>
  <c r="T13" i="1"/>
  <c r="T5" i="1"/>
  <c r="T41" i="1"/>
  <c r="S23" i="13" s="1"/>
  <c r="T26" i="1"/>
  <c r="S56" i="13" s="1"/>
  <c r="T45" i="1"/>
  <c r="T37" i="1"/>
  <c r="S26" i="13" s="1"/>
  <c r="M6" i="13"/>
  <c r="M12" i="13"/>
  <c r="M9" i="13"/>
  <c r="AJ42" i="5"/>
  <c r="D5" i="54"/>
  <c r="J2" i="54"/>
  <c r="M10" i="13"/>
  <c r="M44" i="13"/>
  <c r="M20" i="13"/>
  <c r="M58" i="13"/>
  <c r="M43" i="13"/>
  <c r="M4" i="13"/>
  <c r="M54" i="13"/>
  <c r="M31" i="13"/>
  <c r="F113" i="5"/>
  <c r="M50" i="13"/>
  <c r="M40" i="13"/>
  <c r="M8" i="13"/>
  <c r="M38" i="13"/>
  <c r="M16" i="13"/>
  <c r="M45" i="13"/>
  <c r="J4" i="54"/>
  <c r="D3" i="54"/>
  <c r="J3" i="54"/>
  <c r="AJ15" i="5"/>
  <c r="D6" i="54"/>
  <c r="G116" i="24"/>
  <c r="J5" i="54"/>
  <c r="D4" i="54"/>
  <c r="G62" i="24"/>
  <c r="G65" i="24"/>
  <c r="G20" i="24"/>
  <c r="G11" i="24"/>
  <c r="G71" i="24"/>
  <c r="AJ4" i="5"/>
  <c r="G50" i="24"/>
  <c r="AJ17" i="5"/>
  <c r="G5" i="24"/>
  <c r="G2" i="24"/>
  <c r="AJ5" i="5"/>
  <c r="AJ8" i="5"/>
  <c r="AJ45" i="5"/>
  <c r="AJ36" i="5"/>
  <c r="S35" i="1"/>
  <c r="F68" i="5"/>
  <c r="F68" i="24" s="1"/>
  <c r="F125" i="5"/>
  <c r="S44" i="1"/>
  <c r="T44" i="1" s="1"/>
  <c r="S3" i="13" s="1"/>
  <c r="AJ23" i="5"/>
  <c r="AJ32" i="5"/>
  <c r="AJ22" i="5"/>
  <c r="AJ3" i="5"/>
  <c r="AJ9" i="5"/>
  <c r="G113" i="24"/>
  <c r="S36" i="1"/>
  <c r="T36" i="1" s="1"/>
  <c r="S7" i="13" s="1"/>
  <c r="S8" i="1"/>
  <c r="S22" i="1"/>
  <c r="M14" i="13" s="1"/>
  <c r="AJ33" i="5"/>
  <c r="AJ12" i="5"/>
  <c r="G17" i="24"/>
  <c r="F17" i="5"/>
  <c r="M35" i="13"/>
  <c r="AJ10" i="5"/>
  <c r="F110" i="5"/>
  <c r="F38" i="5"/>
  <c r="F23" i="5"/>
  <c r="G104" i="24"/>
  <c r="G35" i="24"/>
  <c r="AJ30" i="5"/>
  <c r="G32" i="24"/>
  <c r="G29" i="24"/>
  <c r="F14" i="5"/>
  <c r="AE26" i="5" s="1"/>
  <c r="M21" i="13"/>
  <c r="G44" i="24"/>
  <c r="G23" i="24"/>
  <c r="AJ31" i="5"/>
  <c r="G119" i="24"/>
  <c r="G86" i="24"/>
  <c r="AJ27" i="5"/>
  <c r="G26" i="24"/>
  <c r="G83" i="24"/>
  <c r="G74" i="24"/>
  <c r="F80" i="5"/>
  <c r="AE2" i="13" l="1"/>
  <c r="S32" i="13"/>
  <c r="F29" i="5"/>
  <c r="F29" i="24" s="1"/>
  <c r="S19" i="13"/>
  <c r="Y39" i="13"/>
  <c r="S16" i="13"/>
  <c r="M30" i="13"/>
  <c r="S20" i="13"/>
  <c r="F95" i="5"/>
  <c r="F95" i="24" s="1"/>
  <c r="S58" i="13"/>
  <c r="AE13" i="13"/>
  <c r="S38" i="13"/>
  <c r="AE4" i="13"/>
  <c r="S6" i="13"/>
  <c r="F11" i="5"/>
  <c r="F11" i="24" s="1"/>
  <c r="S54" i="13"/>
  <c r="M26" i="13"/>
  <c r="S48" i="13"/>
  <c r="AJ13" i="5"/>
  <c r="AJ38" i="5"/>
  <c r="AJ20" i="5"/>
  <c r="AJ34" i="5"/>
  <c r="AJ7" i="5"/>
  <c r="AJ24" i="5"/>
  <c r="K2" i="54"/>
  <c r="AJ25" i="5"/>
  <c r="AJ43" i="5"/>
  <c r="AJ16" i="5"/>
  <c r="AJ6" i="5"/>
  <c r="AJ21" i="5"/>
  <c r="AJ37" i="5"/>
  <c r="AJ26" i="5"/>
  <c r="AJ46" i="5"/>
  <c r="AE8" i="13"/>
  <c r="AE6" i="13"/>
  <c r="M22" i="13"/>
  <c r="AE7" i="13"/>
  <c r="AE5" i="13"/>
  <c r="AE3" i="13"/>
  <c r="G107" i="24"/>
  <c r="AJ39" i="5"/>
  <c r="F113" i="24"/>
  <c r="F125" i="24"/>
  <c r="AJ44" i="5"/>
  <c r="G77" i="24"/>
  <c r="AJ19" i="5"/>
  <c r="G95" i="24"/>
  <c r="AJ35" i="5"/>
  <c r="G92" i="24"/>
  <c r="G128" i="24"/>
  <c r="G122" i="24"/>
  <c r="H111" i="5"/>
  <c r="G110" i="24"/>
  <c r="G80" i="24"/>
  <c r="AJ40" i="5"/>
  <c r="AJ41" i="5"/>
  <c r="AJ14" i="5"/>
  <c r="G89" i="24"/>
  <c r="H132" i="5"/>
  <c r="G131" i="24"/>
  <c r="H99" i="5"/>
  <c r="G98" i="24"/>
  <c r="F41" i="5"/>
  <c r="F41" i="24" s="1"/>
  <c r="F92" i="5"/>
  <c r="F92" i="24" s="1"/>
  <c r="F65" i="5"/>
  <c r="F65" i="24" s="1"/>
  <c r="F53" i="5"/>
  <c r="F53" i="24" s="1"/>
  <c r="Y22" i="13"/>
  <c r="Y38" i="13"/>
  <c r="M25" i="13"/>
  <c r="F74" i="5"/>
  <c r="F74" i="24" s="1"/>
  <c r="M36" i="13"/>
  <c r="F119" i="5"/>
  <c r="AE14" i="13"/>
  <c r="F98" i="5"/>
  <c r="F98" i="24" s="1"/>
  <c r="AE9" i="13"/>
  <c r="AK5" i="13"/>
  <c r="M34" i="13"/>
  <c r="F83" i="5"/>
  <c r="F83" i="24" s="1"/>
  <c r="M7" i="13"/>
  <c r="T35" i="1"/>
  <c r="S10" i="13" s="1"/>
  <c r="F35" i="5"/>
  <c r="F35" i="24" s="1"/>
  <c r="T22" i="1"/>
  <c r="T8" i="1"/>
  <c r="M32" i="13"/>
  <c r="M3" i="13"/>
  <c r="M5" i="13"/>
  <c r="Y17" i="13"/>
  <c r="K4" i="54"/>
  <c r="AJ11" i="5"/>
  <c r="Y5" i="13"/>
  <c r="Y6" i="13"/>
  <c r="Y20" i="13"/>
  <c r="Y28" i="13"/>
  <c r="AK8" i="13"/>
  <c r="AK6" i="13"/>
  <c r="AK3" i="13"/>
  <c r="Y18" i="13"/>
  <c r="Y14" i="13"/>
  <c r="M29" i="13"/>
  <c r="Y30" i="13"/>
  <c r="AQ3" i="13"/>
  <c r="M61" i="13"/>
  <c r="M2" i="13"/>
  <c r="M17" i="13"/>
  <c r="M33" i="13"/>
  <c r="M37" i="13"/>
  <c r="M60" i="13"/>
  <c r="M23" i="13"/>
  <c r="AK4" i="13"/>
  <c r="M41" i="13"/>
  <c r="M48" i="13"/>
  <c r="M15" i="13"/>
  <c r="M47" i="13"/>
  <c r="Y10" i="13"/>
  <c r="Y8" i="13"/>
  <c r="Y11" i="13"/>
  <c r="Y25" i="13"/>
  <c r="Y15" i="13"/>
  <c r="M19" i="13"/>
  <c r="M59" i="13"/>
  <c r="M57" i="13"/>
  <c r="M24" i="13"/>
  <c r="F128" i="5"/>
  <c r="M11" i="13"/>
  <c r="M46" i="13"/>
  <c r="M49" i="13"/>
  <c r="F104" i="5"/>
  <c r="Y2" i="13"/>
  <c r="S2" i="13"/>
  <c r="AW2" i="13"/>
  <c r="AQ2" i="13"/>
  <c r="Y9" i="13"/>
  <c r="Y29" i="13"/>
  <c r="Y32" i="13"/>
  <c r="K5" i="54"/>
  <c r="AK2" i="13"/>
  <c r="F32" i="5"/>
  <c r="Y24" i="13"/>
  <c r="Y13" i="13"/>
  <c r="Y3" i="13"/>
  <c r="Y27" i="13"/>
  <c r="Y16" i="13"/>
  <c r="Y26" i="13"/>
  <c r="F107" i="5"/>
  <c r="F17" i="24"/>
  <c r="Y12" i="13"/>
  <c r="F131" i="5"/>
  <c r="Y7" i="13"/>
  <c r="F116" i="5"/>
  <c r="F80" i="24"/>
  <c r="F47" i="24"/>
  <c r="F23" i="24"/>
  <c r="F38" i="24"/>
  <c r="F110" i="24"/>
  <c r="F14" i="24"/>
  <c r="S40" i="13" l="1"/>
  <c r="AE11" i="13"/>
  <c r="AE8" i="5"/>
  <c r="AE16" i="13"/>
  <c r="S44" i="13"/>
  <c r="H1" i="5"/>
  <c r="AL47" i="5"/>
  <c r="AL18" i="5"/>
  <c r="AE17" i="13"/>
  <c r="AE17" i="5"/>
  <c r="AE12" i="13"/>
  <c r="Y23" i="13"/>
  <c r="AE32" i="5"/>
  <c r="AK7" i="13"/>
  <c r="AQ4" i="13"/>
  <c r="Y19" i="13"/>
  <c r="AE10" i="13"/>
  <c r="AE30" i="5"/>
  <c r="Y4" i="13"/>
  <c r="Y21" i="13"/>
  <c r="AL11" i="5"/>
  <c r="F119" i="24"/>
  <c r="AE6" i="5"/>
  <c r="AE12" i="5"/>
  <c r="F104" i="24"/>
  <c r="K3" i="54"/>
  <c r="AE29" i="5"/>
  <c r="AW3" i="13"/>
  <c r="AQ5" i="13"/>
  <c r="AK9" i="13"/>
  <c r="F20" i="5"/>
  <c r="F101" i="5"/>
  <c r="AE46" i="5" s="1"/>
  <c r="Y33" i="13"/>
  <c r="F62" i="5"/>
  <c r="AE44" i="5"/>
  <c r="Y31" i="13"/>
  <c r="M28" i="13"/>
  <c r="AE9" i="5"/>
  <c r="AE40" i="5"/>
  <c r="AE10" i="5"/>
  <c r="S37" i="34"/>
  <c r="AL40" i="5"/>
  <c r="AL32" i="5"/>
  <c r="AL44" i="5"/>
  <c r="AL43" i="5"/>
  <c r="AL36" i="5"/>
  <c r="AL17" i="5"/>
  <c r="AL41" i="5"/>
  <c r="AL39" i="5"/>
  <c r="AL24" i="5"/>
  <c r="AL21" i="5"/>
  <c r="AL12" i="5"/>
  <c r="AL33" i="5"/>
  <c r="S34" i="34"/>
  <c r="AL8" i="5"/>
  <c r="AL23" i="5"/>
  <c r="AL4" i="5"/>
  <c r="AL16" i="5"/>
  <c r="AL5" i="5"/>
  <c r="AL31" i="5"/>
  <c r="AL7" i="5"/>
  <c r="AL27" i="5"/>
  <c r="AL10" i="5"/>
  <c r="AL2" i="5"/>
  <c r="AL45" i="5"/>
  <c r="AL15" i="5"/>
  <c r="O25" i="34"/>
  <c r="P25" i="34" s="1"/>
  <c r="AL26" i="5"/>
  <c r="AL3" i="5"/>
  <c r="AL42" i="5"/>
  <c r="AL25" i="5"/>
  <c r="AL13" i="5"/>
  <c r="AL19" i="5"/>
  <c r="AL20" i="5"/>
  <c r="AL14" i="5"/>
  <c r="AL28" i="5"/>
  <c r="AL29" i="5"/>
  <c r="AL22" i="5"/>
  <c r="AL6" i="5"/>
  <c r="AL35" i="5"/>
  <c r="AL37" i="5"/>
  <c r="O26" i="34"/>
  <c r="M26" i="34" s="1"/>
  <c r="AL38" i="5"/>
  <c r="AL9" i="5"/>
  <c r="AL46" i="5"/>
  <c r="AL34" i="5"/>
  <c r="AL30" i="5"/>
  <c r="AE21" i="5"/>
  <c r="AE42" i="5"/>
  <c r="AE18" i="5"/>
  <c r="AE45" i="5"/>
  <c r="AE2" i="5"/>
  <c r="AE4" i="5"/>
  <c r="AE20" i="5"/>
  <c r="F128" i="24"/>
  <c r="AE5" i="5"/>
  <c r="AE31" i="5"/>
  <c r="AE16" i="5"/>
  <c r="AE33" i="5"/>
  <c r="AE3" i="5"/>
  <c r="AE47" i="5"/>
  <c r="AE36" i="5"/>
  <c r="AE41" i="5"/>
  <c r="AE23" i="5"/>
  <c r="AE43" i="5"/>
  <c r="AE7" i="5"/>
  <c r="F32" i="24"/>
  <c r="AE14" i="5"/>
  <c r="F107" i="24"/>
  <c r="AE19" i="5"/>
  <c r="F116" i="24"/>
  <c r="F131" i="24"/>
  <c r="AN1" i="5" l="1"/>
  <c r="M28" i="34" s="1"/>
  <c r="AE25" i="5"/>
  <c r="F20" i="24"/>
  <c r="AE38" i="5"/>
  <c r="AE39" i="5"/>
  <c r="AE22" i="5"/>
  <c r="AE35" i="5"/>
  <c r="AE11" i="5"/>
  <c r="F101" i="24"/>
  <c r="AE27" i="5"/>
  <c r="AE13" i="5"/>
  <c r="AE15" i="5"/>
  <c r="AE28" i="5"/>
  <c r="AE37" i="5"/>
  <c r="F62" i="24"/>
  <c r="P26" i="34"/>
  <c r="M25" i="34"/>
  <c r="AG24" i="5" l="1"/>
  <c r="I137" i="5" s="1"/>
  <c r="AG34" i="5"/>
  <c r="I134" i="5" s="1"/>
  <c r="AG40" i="5"/>
  <c r="AG9" i="5"/>
  <c r="AG23" i="5"/>
  <c r="AG42" i="5"/>
  <c r="AG7" i="5"/>
  <c r="AG12" i="5"/>
  <c r="AG11" i="5"/>
  <c r="AG26" i="5"/>
  <c r="AG20" i="5"/>
  <c r="AG21" i="5"/>
  <c r="AG3" i="5"/>
  <c r="AG17" i="5"/>
  <c r="AG43" i="5"/>
  <c r="AG27" i="5"/>
  <c r="AG47" i="5"/>
  <c r="AG31" i="5"/>
  <c r="AG38" i="5"/>
  <c r="AG39" i="5"/>
  <c r="AG33" i="5"/>
  <c r="AG6" i="5"/>
  <c r="AG2" i="5"/>
  <c r="AG46" i="5"/>
  <c r="AG35" i="5"/>
  <c r="AG37" i="5"/>
  <c r="AG19" i="5"/>
  <c r="AG16" i="5"/>
  <c r="AG22" i="5"/>
  <c r="AG18" i="5"/>
  <c r="AG10" i="5"/>
  <c r="AG30" i="5"/>
  <c r="AG13" i="5"/>
  <c r="AG5" i="5"/>
  <c r="AG8" i="5"/>
  <c r="AG15" i="5"/>
  <c r="AG45" i="5"/>
  <c r="AG41" i="5"/>
  <c r="AG4" i="5"/>
  <c r="AG28" i="5"/>
  <c r="AG25" i="5"/>
  <c r="AG29" i="5"/>
  <c r="AG32" i="5"/>
  <c r="AG36" i="5"/>
  <c r="AG14" i="5"/>
  <c r="AG44" i="5"/>
  <c r="G2" i="54"/>
  <c r="G6" i="54"/>
  <c r="G4" i="54"/>
  <c r="I80" i="5" l="1"/>
  <c r="I119" i="5"/>
  <c r="I77" i="5"/>
  <c r="G3" i="54"/>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86" i="5"/>
  <c r="I47" i="5"/>
  <c r="I53" i="5"/>
  <c r="I131"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<sst xmlns="http://schemas.openxmlformats.org/spreadsheetml/2006/main" count="1992" uniqueCount="649">
  <si>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</si>
  <si>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</si>
  <si>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</si>
  <si>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</si>
  <si>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</si>
  <si>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</si>
  <si>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</si>
  <si>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</si>
  <si>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</si>
  <si>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</si>
  <si>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</si>
  <si>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</si>
  <si>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</si>
  <si>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</si>
  <si>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</si>
  <si>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</si>
  <si>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</si>
  <si>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</si>
  <si>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</si>
  <si>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</si>
  <si>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</si>
  <si>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</si>
  <si>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</si>
  <si>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</si>
  <si>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</si>
  <si>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</si>
  <si>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</si>
  <si>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</si>
  <si>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</si>
  <si>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</si>
  <si>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</si>
  <si>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</si>
  <si>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</si>
  <si>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</si>
  <si>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</si>
  <si>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</si>
  <si>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</si>
  <si>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</si>
  <si>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</si>
  <si>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</si>
  <si>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</si>
  <si>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</si>
  <si>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</si>
  <si>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</si>
  <si>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</si>
  <si>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</si>
  <si>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</si>
  <si>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</si>
  <si>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</si>
  <si>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</si>
  <si>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</si>
  <si>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</si>
  <si>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</si>
  <si>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</si>
  <si>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</si>
  <si>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</si>
  <si>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</si>
  <si>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</si>
  <si>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</si>
  <si>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</si>
  <si>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</si>
  <si>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</si>
  <si>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</si>
  <si>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</si>
  <si>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</si>
  <si>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</si>
  <si>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</si>
  <si>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</si>
  <si>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</si>
  <si>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</si>
  <si>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</si>
  <si>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</si>
  <si>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</si>
  <si>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</si>
  <si>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</si>
  <si>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</si>
  <si>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</si>
  <si>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</si>
  <si>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</si>
  <si>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</si>
  <si>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</si>
  <si>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</si>
  <si>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</si>
  <si>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</si>
  <si>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</si>
  <si>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</si>
  <si>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</si>
  <si>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</si>
  <si>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</si>
  <si>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</si>
  <si>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</si>
  <si>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</si>
  <si>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</si>
  <si>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</si>
  <si>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</si>
  <si>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</si>
  <si>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</si>
  <si>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</si>
  <si>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</si>
  <si>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</si>
  <si>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</si>
  <si>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</si>
  <si>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</si>
  <si>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</si>
  <si>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</si>
  <si>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</si>
  <si>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</si>
  <si>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</si>
  <si>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</si>
  <si>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</si>
  <si>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</si>
  <si>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</si>
  <si>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</si>
  <si>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</si>
  <si>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</si>
  <si>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</si>
  <si>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</si>
  <si>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</si>
  <si>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</si>
  <si>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</si>
  <si>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</si>
  <si>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</si>
  <si>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</si>
  <si>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</si>
  <si>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</si>
  <si>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</si>
  <si>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</si>
  <si>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</si>
  <si>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</si>
  <si>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</si>
  <si>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</si>
  <si>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</si>
  <si>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</si>
  <si>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</si>
  <si>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</si>
  <si>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</si>
  <si>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</si>
  <si>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</si>
  <si>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</si>
  <si>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</si>
  <si>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</si>
  <si>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</si>
  <si>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</si>
  <si>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</si>
  <si>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</si>
  <si>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</si>
  <si>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</si>
  <si>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</si>
  <si>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</si>
  <si>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</si>
  <si>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</si>
  <si>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</si>
  <si>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</si>
  <si>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</si>
  <si>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</si>
  <si>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</si>
  <si>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</si>
  <si>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</si>
  <si>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</si>
  <si>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</si>
  <si>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</si>
  <si>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</si>
  <si>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</si>
  <si>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</si>
  <si>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</si>
  <si>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</si>
  <si>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</si>
  <si>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</si>
  <si>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</si>
  <si>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</si>
  <si>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</si>
  <si>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</si>
  <si>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</si>
  <si>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</si>
  <si>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</si>
  <si>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</si>
  <si>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</si>
  <si>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</si>
  <si>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</si>
  <si>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</si>
  <si>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</si>
  <si>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</si>
  <si>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</si>
  <si>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</si>
  <si>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</si>
  <si>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</si>
  <si>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</si>
  <si>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</si>
  <si>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</si>
  <si>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</si>
  <si>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</si>
  <si>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</si>
  <si>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</si>
  <si>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</si>
  <si>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</si>
  <si>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</si>
  <si>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</si>
  <si>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</si>
  <si>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</si>
  <si>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</si>
  <si>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</si>
  <si>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</si>
  <si>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</si>
  <si>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</si>
  <si>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</si>
  <si>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</si>
  <si>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</si>
  <si>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</si>
  <si>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</si>
  <si>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</si>
  <si>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</si>
  <si>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</si>
  <si>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</si>
  <si>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</si>
  <si>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</si>
  <si>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</si>
  <si>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</si>
  <si>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</si>
  <si>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</si>
  <si>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</si>
  <si>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</si>
  <si>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</si>
  <si>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</si>
  <si>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</si>
  <si>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</si>
  <si>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</si>
  <si>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</si>
  <si>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</si>
  <si>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</si>
  <si>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</si>
  <si>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</si>
  <si>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</si>
  <si>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</si>
  <si>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</si>
  <si>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</si>
  <si>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</si>
  <si>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</si>
  <si>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</si>
  <si>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</si>
  <si>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</si>
  <si>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</si>
  <si>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</si>
  <si>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</si>
  <si>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</si>
  <si>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</si>
  <si>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</si>
  <si>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</si>
  <si>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</si>
  <si>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</si>
  <si>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</si>
  <si>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</si>
  <si>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</si>
  <si>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</si>
  <si>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</si>
  <si>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</si>
  <si>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</si>
  <si>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</si>
  <si>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</si>
  <si>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</si>
  <si>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</si>
  <si>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</si>
  <si>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</si>
  <si>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</si>
  <si>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</si>
  <si>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</si>
  <si>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</si>
  <si>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</si>
  <si>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</si>
  <si>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</si>
  <si>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</si>
  <si>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</si>
  <si>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</si>
  <si>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</si>
  <si>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</si>
  <si>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</si>
  <si>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</si>
  <si>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</si>
  <si>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</si>
  <si>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</si>
  <si>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</si>
  <si>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</si>
  <si>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</si>
  <si>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</si>
  <si>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</si>
  <si>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</si>
  <si>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</si>
  <si>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</si>
  <si>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</si>
  <si>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</si>
  <si>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</si>
  <si>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</si>
  <si>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</si>
  <si>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</si>
  <si>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</si>
  <si>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</si>
  <si>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</si>
  <si>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Jack Walsh</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</si>
  <si>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</si>
  <si>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</si>
  <si>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</si>
  <si>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</si>
  <si>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</si>
  <si>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</si>
  <si>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</si>
  <si>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</si>
  <si>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</si>
  <si>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</si>
  <si>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</si>
  <si>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</si>
  <si>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</si>
  <si>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</si>
  <si>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</si>
  <si>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</si>
  <si>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</si>
  <si>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</si>
  <si>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</si>
  <si>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</si>
  <si>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</si>
  <si>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</si>
  <si>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</si>
  <si>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</si>
  <si>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</si>
  <si>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</si>
  <si>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</si>
  <si>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</si>
  <si>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</si>
  <si>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</si>
  <si>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</si>
  <si>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</si>
  <si>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</si>
  <si>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</si>
  <si>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</si>
  <si>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</si>
  <si>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</si>
  <si>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</si>
  <si>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</si>
  <si>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</si>
  <si>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</si>
  <si>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</si>
  <si>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</si>
  <si>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</si>
  <si>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</si>
  <si>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</si>
  <si>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</si>
  <si>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</si>
  <si>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</si>
  <si>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</si>
  <si>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</si>
  <si>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</si>
  <si>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</si>
  <si>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</si>
  <si>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</si>
  <si>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</si>
  <si>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</si>
  <si>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</si>
  <si>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</si>
  <si>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</si>
  <si>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</si>
  <si>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</si>
  <si>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</si>
  <si>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</si>
  <si>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</si>
  <si>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</si>
  <si>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</si>
  <si>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</si>
  <si>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</si>
  <si>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</si>
  <si>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</si>
  <si>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</si>
  <si>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</si>
  <si>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</si>
  <si>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</si>
  <si>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</si>
  <si>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</si>
  <si>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</si>
  <si>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</si>
  <si>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</si>
  <si>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</si>
  <si>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</si>
  <si>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</si>
  <si>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</si>
  <si>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</si>
  <si>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</si>
  <si>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</si>
  <si>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</si>
  <si>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</si>
  <si>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</si>
  <si>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</si>
  <si>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</si>
  <si>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</si>
  <si>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</si>
  <si>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</si>
  <si>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</si>
  <si>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</si>
  <si>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</si>
  <si>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</si>
  <si>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</si>
  <si>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</si>
  <si>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</si>
  <si>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</si>
  <si>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</si>
  <si>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</si>
  <si>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</si>
  <si>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</si>
  <si>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</si>
  <si>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</si>
  <si>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</si>
  <si>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</si>
  <si>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</si>
  <si>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</si>
  <si>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</si>
  <si>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</si>
  <si>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</si>
  <si>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</si>
  <si>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</si>
  <si>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</si>
  <si>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</si>
  <si>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</si>
  <si>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</si>
  <si>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</si>
  <si>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</si>
  <si>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</si>
  <si>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</si>
  <si>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</si>
  <si>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</si>
  <si>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</si>
  <si>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</si>
  <si>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</si>
  <si>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</si>
  <si>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</si>
  <si>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</si>
  <si>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</si>
  <si>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</si>
  <si>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</si>
  <si>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</si>
  <si>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</si>
  <si>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</si>
  <si>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</si>
  <si>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</si>
  <si>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</si>
  <si>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</si>
  <si>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</si>
  <si>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</si>
  <si>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</si>
  <si>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</si>
  <si>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</si>
  <si>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</si>
  <si>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</si>
  <si>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</si>
  <si>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</si>
  <si>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</si>
  <si>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</si>
  <si>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</si>
  <si>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</si>
  <si>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</si>
  <si>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</si>
  <si>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</si>
  <si>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</si>
  <si>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</si>
  <si>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</si>
  <si>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</si>
  <si>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</si>
  <si>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</si>
  <si>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</si>
  <si>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</si>
  <si>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</si>
  <si>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</si>
  <si>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</si>
  <si>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</si>
  <si>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</si>
  <si>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</si>
  <si>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</si>
  <si>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</si>
  <si>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</si>
  <si>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</si>
  <si>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</si>
  <si>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</si>
  <si>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</si>
  <si>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</si>
  <si>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</si>
  <si>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</si>
  <si>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</si>
  <si>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</si>
  <si>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</si>
  <si>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</si>
  <si>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</si>
  <si>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Bob Bailey</t>
  </si>
  <si>
    <t>Dan Gibbard</t>
  </si>
  <si>
    <t>Frank Allen</t>
  </si>
  <si>
    <t>Autumn</t>
  </si>
  <si>
    <t>Earlier drawn ties</t>
  </si>
  <si>
    <t>Day</t>
  </si>
  <si>
    <t>New Season Divisional Line-ups</t>
  </si>
  <si>
    <t>↔</t>
  </si>
  <si>
    <t>Julie Dodd</t>
  </si>
  <si>
    <t>Midweek Fixtures</t>
  </si>
  <si>
    <t>Main Matchday</t>
  </si>
  <si>
    <t>17</t>
  </si>
  <si>
    <t>Double Round</t>
  </si>
  <si>
    <t>Midweek\
Double Round</t>
  </si>
  <si>
    <t>3in! PL
Cup Round</t>
  </si>
  <si>
    <t>PL\EFL\SPL
Fixtures</t>
  </si>
  <si>
    <t>Alex Griffin</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</si>
  <si>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</si>
  <si>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</si>
  <si>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</si>
  <si>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</si>
  <si>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</si>
  <si>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</si>
  <si>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</si>
  <si>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</si>
  <si>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</si>
  <si>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</si>
  <si>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</si>
  <si>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</si>
  <si>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</si>
  <si>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</si>
  <si>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</si>
  <si>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</si>
  <si>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</si>
  <si>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</si>
  <si>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</si>
  <si>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</si>
  <si>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</si>
  <si>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</si>
  <si>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</si>
  <si>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</si>
  <si>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</si>
  <si>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Current non-entrants</t>
  </si>
  <si>
    <t>3/1</t>
  </si>
  <si>
    <t>Southampton draw</t>
  </si>
  <si>
    <t>Inactive
This
Season:</t>
  </si>
  <si>
    <t>Active
Current
Season</t>
  </si>
  <si>
    <t>Steve Waterhouse</t>
  </si>
  <si>
    <t>PL\EFL</t>
  </si>
  <si>
    <t>Stockport</t>
  </si>
  <si>
    <t>Bristol C</t>
  </si>
  <si>
    <t>Coventry</t>
  </si>
  <si>
    <t>MK Dons</t>
  </si>
  <si>
    <t>Quarter-Final Rep</t>
  </si>
  <si>
    <t>Semi-Final Rep</t>
  </si>
  <si>
    <t>Final Rep</t>
  </si>
  <si>
    <t>R</t>
  </si>
  <si>
    <t>Wrexham</t>
  </si>
  <si>
    <t>Port Vale</t>
  </si>
  <si>
    <t>Bromley</t>
  </si>
  <si>
    <t>Walsall</t>
  </si>
  <si>
    <t>Rotherham</t>
  </si>
  <si>
    <t>Salford</t>
  </si>
  <si>
    <t>Plymouth</t>
  </si>
  <si>
    <t>Bristol R</t>
  </si>
  <si>
    <t>Cambridge</t>
  </si>
  <si>
    <t>Exeter</t>
  </si>
  <si>
    <t>Huddersfield</t>
  </si>
  <si>
    <t>Orient</t>
  </si>
  <si>
    <t>Bolton</t>
  </si>
  <si>
    <t>Lincoln</t>
  </si>
  <si>
    <t>Chesterfield</t>
  </si>
  <si>
    <t>Bradford</t>
  </si>
  <si>
    <t>Gillingham</t>
  </si>
  <si>
    <t>Swindon</t>
  </si>
  <si>
    <t>Harrogate</t>
  </si>
  <si>
    <t>Notts Co</t>
  </si>
  <si>
    <t>Crewe</t>
  </si>
  <si>
    <t>Mansfield</t>
  </si>
  <si>
    <t>Preliminary</t>
  </si>
  <si>
    <t>Preliminary Rep</t>
  </si>
  <si>
    <t xml:space="preserve">Round 1 </t>
  </si>
  <si>
    <t>INT\FA1\NL</t>
  </si>
  <si>
    <t>PL\FA2\FL1\FL2\NL</t>
  </si>
  <si>
    <t>Autumn 26</t>
  </si>
  <si>
    <t>PL46</t>
  </si>
  <si>
    <t>R1
Draw #</t>
  </si>
  <si>
    <t>Barnet</t>
  </si>
  <si>
    <t>Dot Bow</t>
  </si>
  <si>
    <t>Katy Savory</t>
  </si>
  <si>
    <t>Champ</t>
  </si>
  <si>
    <t>Ipswich</t>
  </si>
  <si>
    <t>Premier</t>
  </si>
  <si>
    <t>Arsenal</t>
  </si>
  <si>
    <t>Forest</t>
  </si>
  <si>
    <t>Bournemouth</t>
  </si>
  <si>
    <t>Brighton</t>
  </si>
  <si>
    <t>Brentford</t>
  </si>
  <si>
    <t>Chelsea</t>
  </si>
  <si>
    <t>Everton</t>
  </si>
  <si>
    <t>Fulham</t>
  </si>
  <si>
    <t>Leeds</t>
  </si>
  <si>
    <t>Newcastle</t>
  </si>
  <si>
    <t>Wolves</t>
  </si>
  <si>
    <t>Palace</t>
  </si>
  <si>
    <t>Charlton</t>
  </si>
  <si>
    <t>Millwall</t>
  </si>
  <si>
    <t>Norwich</t>
  </si>
  <si>
    <t>Oxford</t>
  </si>
  <si>
    <t>Leicester</t>
  </si>
  <si>
    <t>Preston</t>
  </si>
  <si>
    <t>Middlesbro</t>
  </si>
  <si>
    <t>Sheff W</t>
  </si>
  <si>
    <t>Stoke</t>
  </si>
  <si>
    <t>Birmingham</t>
  </si>
  <si>
    <t>Swansea</t>
  </si>
  <si>
    <t>Hull</t>
  </si>
  <si>
    <t>Watford</t>
  </si>
  <si>
    <t>Blackburn</t>
  </si>
  <si>
    <t>West Brom</t>
  </si>
  <si>
    <t>Derby</t>
  </si>
  <si>
    <t>QPR</t>
  </si>
  <si>
    <t>League 1</t>
  </si>
  <si>
    <t>Barnsley</t>
  </si>
  <si>
    <t>Reading</t>
  </si>
  <si>
    <t>Burton</t>
  </si>
  <si>
    <t>Luton</t>
  </si>
  <si>
    <t>Stevenage</t>
  </si>
  <si>
    <t>Northampton</t>
  </si>
  <si>
    <t>Blackpool</t>
  </si>
  <si>
    <t>Peterbro</t>
  </si>
  <si>
    <t>Cardiff</t>
  </si>
  <si>
    <t>Wimbledon</t>
  </si>
  <si>
    <t>League 2</t>
  </si>
  <si>
    <t>Accrington</t>
  </si>
  <si>
    <t>Colchester</t>
  </si>
  <si>
    <t>Barrow</t>
  </si>
  <si>
    <t>Crawley</t>
  </si>
  <si>
    <t>Cheltenham</t>
  </si>
  <si>
    <t>Fleetwood</t>
  </si>
  <si>
    <t>Grimsby</t>
  </si>
  <si>
    <t>Oldham</t>
  </si>
  <si>
    <t>Shrewsbury</t>
  </si>
  <si>
    <t>Tranmere</t>
  </si>
  <si>
    <t>Newport</t>
  </si>
  <si>
    <t>Burnley</t>
  </si>
  <si>
    <t>Liverpool</t>
  </si>
  <si>
    <t>Man C</t>
  </si>
  <si>
    <t>Man U</t>
  </si>
  <si>
    <t>Southampton</t>
  </si>
  <si>
    <t>05</t>
  </si>
  <si>
    <t>Bournemouth draw</t>
  </si>
  <si>
    <t>West Ham draw</t>
  </si>
  <si>
    <t>Wimbledon draw</t>
  </si>
  <si>
    <t>Gillingham draw</t>
  </si>
  <si>
    <t>Orient draw</t>
  </si>
  <si>
    <t>Charlton draw</t>
  </si>
  <si>
    <t>Bradford draw</t>
  </si>
  <si>
    <t>Fulham draw</t>
  </si>
  <si>
    <t>Preston draw</t>
  </si>
  <si>
    <t>Accrington draw</t>
  </si>
  <si>
    <t>Chesterfield draw</t>
  </si>
  <si>
    <t>Everton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</si>
</sst>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4">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
      <patternFill patternType="solid">
        <fgColor theme="6" tint="0.79998168889431442"/>
        <bgColor indexed="64"/>
      </patternFill>
    </fill>
  </fills>
  <borders count="1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style="thin">
        <color indexed="65"/>
      </left>
      <right/>
      <top style="thin">
        <color rgb="FF999999"/>
      </top>
      <bottom/>
      <diagonal/>
    </border>
    <border>
      <left style="thin">
        <color rgb="FF999999"/>
      </left>
      <right/>
      <top/>
      <bottom/>
      <diagonal/>
    </border>
    <border>
      <left style="thin">
        <color rgb="FF999999"/>
      </left>
      <right style="thin">
        <color rgb="FF999999"/>
      </right>
      <top/>
      <bottom/>
      <diagonal/>
    </border>
    <border>
      <left/>
      <right/>
      <top style="thin">
        <color rgb="FF999999"/>
      </top>
      <bottom style="thin">
        <color rgb="FF999999"/>
      </bottom>
      <diagonal/>
    </border>
    <border>
      <left style="thick">
        <color rgb="FF7030A0"/>
      </left>
      <right/>
      <top/>
      <bottom/>
      <diagonal/>
    </border>
    <border>
      <left style="thick">
        <color rgb="FF7030A0"/>
      </left>
      <right/>
      <top/>
      <bottom style="thin">
        <color rgb="FF7030A0"/>
      </bottom>
      <diagonal/>
    </border>
    <border>
      <left/>
      <right style="thin">
        <color rgb="FF7030A0"/>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49">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3" xfId="0" applyFont="1" applyFill="1" applyBorder="1" applyAlignment="1">
      <alignment vertical="center"/>
    </xf>
    <xf numFmtId="0" fontId="41" fillId="11" borderId="74" xfId="0" applyFont="1" applyFill="1" applyBorder="1" applyAlignment="1">
      <alignment vertical="center"/>
    </xf>
    <xf numFmtId="0" fontId="41" fillId="11" borderId="75"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6" xfId="0" applyFont="1" applyFill="1" applyBorder="1"/>
    <xf numFmtId="0" fontId="52" fillId="8" borderId="76" xfId="0" applyFont="1" applyFill="1" applyBorder="1" applyAlignment="1">
      <alignment shrinkToFit="1"/>
    </xf>
    <xf numFmtId="0" fontId="52" fillId="8" borderId="77" xfId="0" applyFont="1" applyFill="1" applyBorder="1" applyAlignment="1">
      <alignment shrinkToFit="1"/>
    </xf>
    <xf numFmtId="0" fontId="52" fillId="8" borderId="78" xfId="0" applyFont="1" applyFill="1" applyBorder="1" applyAlignment="1">
      <alignment shrinkToFit="1"/>
    </xf>
    <xf numFmtId="0" fontId="52" fillId="8" borderId="76" xfId="0" applyFont="1" applyFill="1" applyBorder="1" applyAlignment="1">
      <alignment vertical="center" shrinkToFit="1"/>
    </xf>
    <xf numFmtId="170" fontId="53" fillId="8" borderId="76" xfId="0" applyNumberFormat="1" applyFont="1" applyFill="1" applyBorder="1" applyAlignment="1">
      <alignment vertical="center" shrinkToFit="1"/>
    </xf>
    <xf numFmtId="0" fontId="52" fillId="8" borderId="79" xfId="0" applyFont="1" applyFill="1" applyBorder="1" applyAlignment="1">
      <alignment vertical="center" shrinkToFit="1"/>
    </xf>
    <xf numFmtId="0" fontId="52" fillId="8" borderId="77" xfId="0" applyFont="1" applyFill="1" applyBorder="1" applyAlignment="1">
      <alignment vertical="center" shrinkToFit="1"/>
    </xf>
    <xf numFmtId="170" fontId="53" fillId="8" borderId="77" xfId="0" applyNumberFormat="1" applyFont="1" applyFill="1" applyBorder="1" applyAlignment="1">
      <alignment vertical="center" shrinkToFit="1"/>
    </xf>
    <xf numFmtId="0" fontId="52" fillId="8" borderId="80" xfId="0" applyFont="1" applyFill="1" applyBorder="1" applyAlignment="1">
      <alignment vertical="center" shrinkToFit="1"/>
    </xf>
    <xf numFmtId="0" fontId="54" fillId="8" borderId="78" xfId="0" applyFont="1" applyFill="1" applyBorder="1" applyAlignment="1">
      <alignment vertical="center" shrinkToFit="1"/>
    </xf>
    <xf numFmtId="0" fontId="54" fillId="8" borderId="76"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2" xfId="0" applyFont="1" applyFill="1" applyBorder="1" applyAlignment="1">
      <alignment vertical="center" shrinkToFit="1"/>
    </xf>
    <xf numFmtId="170" fontId="55" fillId="8" borderId="76" xfId="0" applyNumberFormat="1" applyFont="1" applyFill="1" applyBorder="1" applyAlignment="1">
      <alignment vertical="center" shrinkToFit="1"/>
    </xf>
    <xf numFmtId="0" fontId="54" fillId="8" borderId="79" xfId="0" applyFont="1" applyFill="1" applyBorder="1" applyAlignment="1">
      <alignment vertical="center" shrinkToFit="1"/>
    </xf>
    <xf numFmtId="0" fontId="54" fillId="8" borderId="83" xfId="0" applyFont="1" applyFill="1" applyBorder="1" applyAlignment="1">
      <alignment vertical="center" shrinkToFit="1"/>
    </xf>
    <xf numFmtId="170" fontId="54" fillId="8" borderId="76" xfId="0" applyNumberFormat="1" applyFont="1" applyFill="1" applyBorder="1" applyAlignment="1">
      <alignment vertical="center" shrinkToFit="1"/>
    </xf>
    <xf numFmtId="0" fontId="55" fillId="8" borderId="76"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0" fontId="4" fillId="2" borderId="36" xfId="0" applyFont="1" applyFill="1" applyBorder="1" applyAlignment="1">
      <alignment vertical="center"/>
    </xf>
    <xf numFmtId="0" fontId="4" fillId="2" borderId="41" xfId="0" applyFont="1" applyFill="1" applyBorder="1" applyAlignment="1">
      <alignment vertical="center"/>
    </xf>
    <xf numFmtId="0" fontId="4" fillId="8" borderId="0" xfId="0" applyFont="1" applyFill="1" applyAlignment="1">
      <alignment horizontal="center" vertical="center"/>
    </xf>
    <xf numFmtId="0" fontId="0" fillId="0" borderId="69" xfId="0" applyBorder="1"/>
    <xf numFmtId="0" fontId="0" fillId="0" borderId="71" xfId="0" applyBorder="1"/>
    <xf numFmtId="170" fontId="26" fillId="0" borderId="67" xfId="0" quotePrefix="1" applyNumberFormat="1" applyFont="1" applyBorder="1" applyAlignment="1">
      <alignment horizontal="right" vertical="center"/>
    </xf>
    <xf numFmtId="0" fontId="18" fillId="9" borderId="85"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3" xfId="0" applyFont="1" applyFill="1" applyBorder="1" applyAlignment="1">
      <alignment vertical="center" shrinkToFit="1"/>
    </xf>
    <xf numFmtId="0" fontId="52" fillId="18" borderId="84" xfId="0" applyFont="1" applyFill="1" applyBorder="1" applyAlignment="1">
      <alignment vertical="center" shrinkToFit="1"/>
    </xf>
    <xf numFmtId="0" fontId="59" fillId="19" borderId="82" xfId="0" applyFont="1" applyFill="1" applyBorder="1" applyAlignment="1">
      <alignment vertical="center" shrinkToFit="1"/>
    </xf>
    <xf numFmtId="0" fontId="59" fillId="19" borderId="83" xfId="0" applyFont="1" applyFill="1" applyBorder="1" applyAlignment="1">
      <alignment vertical="center" shrinkToFit="1"/>
    </xf>
    <xf numFmtId="0" fontId="59" fillId="19" borderId="78" xfId="0" applyFont="1" applyFill="1" applyBorder="1" applyAlignment="1">
      <alignment vertical="center" shrinkToFit="1"/>
    </xf>
    <xf numFmtId="0" fontId="59" fillId="19" borderId="76"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0" fontId="54" fillId="0" borderId="83" xfId="0" applyFont="1" applyBorder="1" applyAlignment="1">
      <alignment vertical="center" shrinkToFit="1"/>
    </xf>
    <xf numFmtId="170" fontId="55" fillId="0" borderId="76" xfId="0" applyNumberFormat="1" applyFont="1" applyBorder="1" applyAlignment="1">
      <alignment vertical="center" shrinkToFit="1"/>
    </xf>
    <xf numFmtId="0" fontId="54" fillId="0" borderId="79" xfId="0" applyFont="1" applyBorder="1" applyAlignment="1">
      <alignment vertical="center" shrinkToFit="1"/>
    </xf>
    <xf numFmtId="170" fontId="55" fillId="0" borderId="77" xfId="0" applyNumberFormat="1" applyFont="1" applyBorder="1" applyAlignment="1">
      <alignment vertical="center" shrinkToFit="1"/>
    </xf>
    <xf numFmtId="0" fontId="54" fillId="0" borderId="80" xfId="0" applyFont="1" applyBorder="1" applyAlignment="1">
      <alignment vertical="center" shrinkToFit="1"/>
    </xf>
    <xf numFmtId="0" fontId="54" fillId="0" borderId="84" xfId="0" applyFont="1" applyBorder="1" applyAlignment="1">
      <alignment vertical="center" shrinkToFit="1"/>
    </xf>
    <xf numFmtId="0" fontId="54" fillId="21" borderId="76" xfId="0" applyFont="1" applyFill="1" applyBorder="1" applyAlignment="1">
      <alignment vertical="center" shrinkToFit="1"/>
    </xf>
    <xf numFmtId="0" fontId="54" fillId="21" borderId="77" xfId="0" applyFont="1" applyFill="1" applyBorder="1" applyAlignment="1">
      <alignment vertical="center" shrinkToFit="1"/>
    </xf>
    <xf numFmtId="0" fontId="54" fillId="21" borderId="82" xfId="0" applyFont="1" applyFill="1" applyBorder="1" applyAlignment="1">
      <alignment vertical="center" shrinkToFit="1"/>
    </xf>
    <xf numFmtId="0" fontId="54" fillId="21" borderId="83" xfId="0" applyFont="1" applyFill="1" applyBorder="1" applyAlignment="1">
      <alignment vertical="center" shrinkToFit="1"/>
    </xf>
    <xf numFmtId="0" fontId="54" fillId="20" borderId="83" xfId="0" applyFont="1" applyFill="1" applyBorder="1" applyAlignment="1">
      <alignment vertical="center" shrinkToFit="1"/>
    </xf>
    <xf numFmtId="0" fontId="54" fillId="20" borderId="84" xfId="0" applyFont="1" applyFill="1" applyBorder="1" applyAlignment="1">
      <alignment vertical="center" shrinkToFit="1"/>
    </xf>
    <xf numFmtId="0" fontId="54" fillId="20" borderId="82" xfId="0" applyFont="1" applyFill="1" applyBorder="1" applyAlignment="1">
      <alignment vertical="center" shrinkToFit="1"/>
    </xf>
    <xf numFmtId="0" fontId="59" fillId="22" borderId="83" xfId="0" applyFont="1" applyFill="1" applyBorder="1" applyAlignment="1">
      <alignment vertical="center" shrinkToFit="1"/>
    </xf>
    <xf numFmtId="0" fontId="59" fillId="22" borderId="84" xfId="0" applyFont="1" applyFill="1" applyBorder="1" applyAlignment="1">
      <alignment vertical="center" shrinkToFit="1"/>
    </xf>
    <xf numFmtId="0" fontId="59" fillId="22" borderId="82"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88"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89"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2" xfId="0" applyFont="1" applyBorder="1" applyAlignment="1">
      <alignment horizontal="center" vertical="center" shrinkToFit="1"/>
    </xf>
    <xf numFmtId="0" fontId="54" fillId="0" borderId="93" xfId="0" applyFont="1" applyBorder="1" applyAlignment="1">
      <alignment horizontal="center" vertical="center" shrinkToFit="1"/>
    </xf>
    <xf numFmtId="0" fontId="54" fillId="0" borderId="94" xfId="0" applyFont="1" applyBorder="1" applyAlignment="1">
      <alignment horizontal="center" vertical="center" shrinkToFit="1"/>
    </xf>
    <xf numFmtId="0" fontId="54" fillId="0" borderId="92"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0" xfId="0" applyNumberFormat="1" applyFont="1" applyBorder="1" applyAlignment="1">
      <alignment horizontal="center" vertical="center" shrinkToFit="1"/>
    </xf>
    <xf numFmtId="2" fontId="54" fillId="0" borderId="91"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2" xfId="0" applyFont="1" applyBorder="1" applyAlignment="1">
      <alignment horizontal="center" vertical="center" shrinkToFit="1"/>
    </xf>
    <xf numFmtId="0" fontId="26" fillId="0" borderId="93"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2" xfId="0" applyFont="1" applyBorder="1" applyAlignment="1">
      <alignment horizontal="center" vertical="center" shrinkToFit="1"/>
    </xf>
    <xf numFmtId="0" fontId="39" fillId="0" borderId="92"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1" xfId="0" applyFont="1" applyFill="1" applyBorder="1" applyAlignment="1">
      <alignment vertical="center"/>
    </xf>
    <xf numFmtId="0" fontId="4" fillId="6" borderId="102" xfId="0" applyFont="1" applyFill="1" applyBorder="1" applyAlignment="1">
      <alignment vertical="center"/>
    </xf>
    <xf numFmtId="0" fontId="4" fillId="6" borderId="103" xfId="0" applyFont="1" applyFill="1" applyBorder="1" applyAlignment="1">
      <alignment vertical="center"/>
    </xf>
    <xf numFmtId="0" fontId="4" fillId="6" borderId="9" xfId="0" applyFont="1" applyFill="1" applyBorder="1" applyAlignment="1">
      <alignment vertical="center"/>
    </xf>
    <xf numFmtId="0" fontId="4" fillId="6" borderId="99" xfId="0" applyFont="1" applyFill="1" applyBorder="1" applyAlignment="1">
      <alignment horizontal="center" vertical="center"/>
    </xf>
    <xf numFmtId="0" fontId="4" fillId="6" borderId="98"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4" fillId="8" borderId="1" xfId="0" applyFont="1" applyFill="1" applyBorder="1" applyAlignment="1">
      <alignment horizontal="center"/>
    </xf>
    <xf numFmtId="40" fontId="18" fillId="9" borderId="107" xfId="0" applyNumberFormat="1" applyFont="1" applyFill="1" applyBorder="1" applyAlignment="1">
      <alignment horizontal="right" wrapText="1"/>
    </xf>
    <xf numFmtId="8" fontId="0" fillId="0" borderId="107" xfId="0" applyNumberFormat="1" applyBorder="1" applyAlignment="1">
      <alignment horizontal="right"/>
    </xf>
    <xf numFmtId="8" fontId="0" fillId="0" borderId="108" xfId="0" applyNumberFormat="1" applyBorder="1" applyAlignment="1">
      <alignment horizontal="right"/>
    </xf>
    <xf numFmtId="8" fontId="0" fillId="0" borderId="109" xfId="0" applyNumberFormat="1" applyBorder="1" applyAlignment="1">
      <alignment horizontal="right"/>
    </xf>
    <xf numFmtId="8" fontId="4" fillId="0" borderId="110" xfId="0" applyNumberFormat="1" applyFont="1" applyBorder="1" applyAlignment="1">
      <alignment horizontal="right"/>
    </xf>
    <xf numFmtId="8" fontId="0" fillId="0" borderId="111" xfId="0" applyNumberFormat="1" applyBorder="1" applyAlignment="1">
      <alignment horizontal="right"/>
    </xf>
    <xf numFmtId="8" fontId="4" fillId="0" borderId="108" xfId="0" applyNumberFormat="1" applyFont="1" applyBorder="1" applyAlignment="1">
      <alignment horizontal="right"/>
    </xf>
    <xf numFmtId="8" fontId="0" fillId="0" borderId="110"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49" fontId="56" fillId="9" borderId="0" xfId="0" quotePrefix="1" applyNumberFormat="1" applyFont="1" applyFill="1" applyAlignment="1">
      <alignment horizontal="left" vertical="center"/>
    </xf>
    <xf numFmtId="0" fontId="1" fillId="6" borderId="100"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2" xfId="0" applyNumberFormat="1" applyFont="1" applyFill="1" applyBorder="1" applyAlignment="1">
      <alignment horizontal="center" vertical="center"/>
    </xf>
    <xf numFmtId="16" fontId="24" fillId="8" borderId="112"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2" xfId="0" applyFont="1" applyFill="1" applyBorder="1" applyAlignment="1">
      <alignment horizontal="center"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4" xfId="0" applyFont="1" applyFill="1" applyBorder="1" applyAlignment="1">
      <alignment horizontal="center" vertical="center"/>
    </xf>
    <xf numFmtId="0" fontId="1" fillId="6" borderId="104"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2" fontId="4" fillId="23" borderId="23" xfId="0" applyNumberFormat="1" applyFont="1" applyFill="1" applyBorder="1" applyAlignment="1">
      <alignment horizontal="left" vertical="center"/>
    </xf>
    <xf numFmtId="0" fontId="4" fillId="23" borderId="24" xfId="0" applyFont="1" applyFill="1" applyBorder="1" applyAlignment="1">
      <alignment horizontal="left" vertical="center"/>
    </xf>
    <xf numFmtId="178" fontId="4" fillId="23" borderId="25" xfId="0" applyNumberFormat="1" applyFont="1" applyFill="1" applyBorder="1" applyAlignment="1">
      <alignment horizontal="center" vertical="center"/>
    </xf>
    <xf numFmtId="2" fontId="4" fillId="23" borderId="26" xfId="0" applyNumberFormat="1" applyFont="1" applyFill="1" applyBorder="1" applyAlignment="1">
      <alignment horizontal="center" vertical="center"/>
    </xf>
    <xf numFmtId="0" fontId="1" fillId="23" borderId="27" xfId="0" applyFont="1" applyFill="1" applyBorder="1" applyAlignment="1">
      <alignment horizontal="center" vertical="center"/>
    </xf>
    <xf numFmtId="170" fontId="1" fillId="23" borderId="28" xfId="0" applyNumberFormat="1" applyFont="1" applyFill="1" applyBorder="1" applyAlignment="1">
      <alignment vertical="center"/>
    </xf>
    <xf numFmtId="2" fontId="4" fillId="23" borderId="18" xfId="0" applyNumberFormat="1" applyFont="1" applyFill="1" applyBorder="1" applyAlignment="1">
      <alignment vertical="center"/>
    </xf>
    <xf numFmtId="2" fontId="67" fillId="23" borderId="50" xfId="0" applyNumberFormat="1" applyFont="1" applyFill="1" applyBorder="1" applyAlignment="1">
      <alignment horizontal="left" vertical="center"/>
    </xf>
    <xf numFmtId="0" fontId="4" fillId="23" borderId="29" xfId="0" applyFont="1" applyFill="1" applyBorder="1" applyAlignment="1">
      <alignment horizontal="left" vertical="center"/>
    </xf>
    <xf numFmtId="2" fontId="4" fillId="23" borderId="25" xfId="0" applyNumberFormat="1" applyFont="1" applyFill="1" applyBorder="1" applyAlignment="1">
      <alignment horizontal="center" vertical="center"/>
    </xf>
    <xf numFmtId="0" fontId="1" fillId="23" borderId="30" xfId="0" applyFont="1" applyFill="1" applyBorder="1" applyAlignment="1">
      <alignment horizontal="center" vertical="center"/>
    </xf>
    <xf numFmtId="170" fontId="1" fillId="23" borderId="0" xfId="0" applyNumberFormat="1" applyFont="1" applyFill="1" applyAlignment="1">
      <alignment horizontal="center" vertical="center"/>
    </xf>
    <xf numFmtId="0" fontId="4" fillId="23" borderId="31" xfId="0" applyFont="1" applyFill="1" applyBorder="1" applyAlignment="1">
      <alignment horizontal="center" vertical="center"/>
    </xf>
    <xf numFmtId="2" fontId="67" fillId="23" borderId="51" xfId="0" applyNumberFormat="1" applyFont="1" applyFill="1" applyBorder="1" applyAlignment="1">
      <alignment horizontal="left" vertical="center"/>
    </xf>
    <xf numFmtId="0" fontId="4" fillId="23" borderId="32" xfId="0" applyFont="1" applyFill="1" applyBorder="1" applyAlignment="1">
      <alignment horizontal="left" vertical="center"/>
    </xf>
    <xf numFmtId="178" fontId="4" fillId="23" borderId="33" xfId="0" applyNumberFormat="1" applyFont="1" applyFill="1" applyBorder="1" applyAlignment="1">
      <alignment horizontal="center" vertical="center"/>
    </xf>
    <xf numFmtId="2" fontId="4" fillId="23" borderId="33" xfId="0" applyNumberFormat="1" applyFont="1" applyFill="1" applyBorder="1" applyAlignment="1">
      <alignment horizontal="center" vertical="center"/>
    </xf>
    <xf numFmtId="0" fontId="1" fillId="23" borderId="105" xfId="0" applyFont="1" applyFill="1" applyBorder="1" applyAlignment="1">
      <alignment horizontal="center" vertical="center"/>
    </xf>
    <xf numFmtId="170" fontId="1" fillId="23" borderId="19" xfId="0" applyNumberFormat="1" applyFont="1" applyFill="1" applyBorder="1" applyAlignment="1">
      <alignment horizontal="center" vertical="center"/>
    </xf>
    <xf numFmtId="0" fontId="4" fillId="23" borderId="106" xfId="0" applyFont="1" applyFill="1" applyBorder="1" applyAlignment="1">
      <alignment horizontal="center" vertical="center"/>
    </xf>
    <xf numFmtId="170" fontId="1" fillId="23" borderId="55" xfId="0" applyNumberFormat="1" applyFont="1" applyFill="1" applyBorder="1" applyAlignment="1">
      <alignment vertical="center"/>
    </xf>
    <xf numFmtId="2" fontId="4" fillId="23" borderId="2" xfId="0" applyNumberFormat="1" applyFont="1" applyFill="1" applyBorder="1" applyAlignment="1">
      <alignment vertical="center"/>
    </xf>
    <xf numFmtId="0" fontId="4" fillId="23" borderId="34" xfId="0" applyFont="1" applyFill="1" applyBorder="1" applyAlignment="1">
      <alignment horizontal="center" vertical="center"/>
    </xf>
    <xf numFmtId="175" fontId="4" fillId="23" borderId="35" xfId="0" applyNumberFormat="1" applyFont="1" applyFill="1" applyBorder="1" applyAlignment="1">
      <alignment horizontal="center" vertical="center"/>
    </xf>
    <xf numFmtId="0" fontId="4" fillId="23" borderId="36" xfId="0" applyFont="1" applyFill="1" applyBorder="1" applyAlignment="1">
      <alignment horizontal="center" vertical="center"/>
    </xf>
    <xf numFmtId="2" fontId="4" fillId="23" borderId="36" xfId="0" applyNumberFormat="1" applyFont="1" applyFill="1" applyBorder="1" applyAlignment="1">
      <alignment horizontal="center" vertical="center"/>
    </xf>
    <xf numFmtId="0" fontId="4" fillId="23" borderId="37" xfId="0" applyFont="1" applyFill="1" applyBorder="1" applyAlignment="1">
      <alignment horizontal="center" vertical="center"/>
    </xf>
    <xf numFmtId="175" fontId="4" fillId="23" borderId="38" xfId="0" applyNumberFormat="1" applyFont="1" applyFill="1" applyBorder="1" applyAlignment="1">
      <alignment horizontal="center" vertical="center"/>
    </xf>
    <xf numFmtId="0" fontId="4" fillId="23" borderId="39" xfId="0" applyFont="1" applyFill="1" applyBorder="1" applyAlignment="1">
      <alignment horizontal="center" vertical="center"/>
    </xf>
    <xf numFmtId="175" fontId="4" fillId="23" borderId="40" xfId="0" applyNumberFormat="1" applyFont="1" applyFill="1" applyBorder="1" applyAlignment="1">
      <alignment horizontal="center" vertical="center"/>
    </xf>
    <xf numFmtId="2" fontId="4" fillId="23" borderId="41" xfId="0" applyNumberFormat="1" applyFont="1" applyFill="1" applyBorder="1" applyAlignment="1">
      <alignment horizontal="center" vertical="center"/>
    </xf>
    <xf numFmtId="0" fontId="4" fillId="23" borderId="42" xfId="0" applyFont="1" applyFill="1" applyBorder="1" applyAlignment="1">
      <alignment horizontal="center" vertical="center"/>
    </xf>
    <xf numFmtId="0" fontId="1" fillId="23" borderId="48" xfId="0" applyFont="1" applyFill="1" applyBorder="1" applyAlignment="1">
      <alignment horizontal="center" vertical="center"/>
    </xf>
    <xf numFmtId="175" fontId="1" fillId="23" borderId="49" xfId="0" applyNumberFormat="1" applyFont="1" applyFill="1" applyBorder="1" applyAlignment="1">
      <alignment horizontal="center" vertical="center"/>
    </xf>
    <xf numFmtId="0" fontId="1" fillId="23" borderId="47" xfId="0" applyFont="1" applyFill="1" applyBorder="1" applyAlignment="1">
      <alignment horizontal="center" vertical="center"/>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0" fontId="65" fillId="8" borderId="0" xfId="0" applyFont="1" applyFill="1" applyAlignment="1">
      <alignment horizontal="center" vertical="center" wrapText="1"/>
    </xf>
    <xf numFmtId="0" fontId="65" fillId="8" borderId="0" xfId="0" applyFont="1" applyFill="1" applyAlignment="1">
      <alignment horizontal="center"/>
    </xf>
    <xf numFmtId="0" fontId="0" fillId="0" borderId="113" xfId="0" applyBorder="1"/>
    <xf numFmtId="0" fontId="0" fillId="0" borderId="114" xfId="0" applyBorder="1"/>
    <xf numFmtId="0" fontId="59" fillId="8" borderId="117" xfId="0" applyFont="1" applyFill="1" applyBorder="1" applyAlignment="1">
      <alignment vertical="center" shrinkToFit="1"/>
    </xf>
    <xf numFmtId="0" fontId="59" fillId="8" borderId="118" xfId="0" applyFont="1" applyFill="1" applyBorder="1" applyAlignment="1">
      <alignment vertical="center" shrinkToFit="1"/>
    </xf>
    <xf numFmtId="170" fontId="55" fillId="8" borderId="119" xfId="0" applyNumberFormat="1" applyFont="1" applyFill="1" applyBorder="1" applyAlignment="1">
      <alignment vertical="center" shrinkToFit="1"/>
    </xf>
    <xf numFmtId="170" fontId="55" fillId="8" borderId="87" xfId="0" applyNumberFormat="1" applyFont="1" applyFill="1" applyBorder="1" applyAlignment="1">
      <alignment vertical="center" shrinkToFit="1"/>
    </xf>
    <xf numFmtId="0" fontId="20" fillId="8" borderId="0" xfId="0" applyFont="1" applyFill="1" applyAlignment="1">
      <alignment horizontal="center" vertical="center"/>
    </xf>
    <xf numFmtId="170" fontId="5" fillId="0" borderId="14" xfId="0" applyNumberFormat="1" applyFont="1" applyBorder="1" applyAlignment="1">
      <alignment horizontal="right"/>
    </xf>
    <xf numFmtId="0" fontId="5" fillId="0" borderId="14" xfId="0" applyFont="1" applyBorder="1" applyAlignment="1">
      <alignment horizontal="right"/>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5"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5"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5"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6" xfId="0" applyFont="1" applyFill="1" applyBorder="1" applyAlignment="1">
      <alignment vertical="center"/>
    </xf>
    <xf numFmtId="0" fontId="18" fillId="9" borderId="87" xfId="0" applyFont="1" applyFill="1" applyBorder="1" applyAlignment="1">
      <alignment vertical="center"/>
    </xf>
    <xf numFmtId="8" fontId="25" fillId="0" borderId="91"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0" xfId="0" applyNumberFormat="1" applyFont="1" applyBorder="1" applyAlignment="1">
      <alignment horizontal="left" vertical="center"/>
    </xf>
    <xf numFmtId="8" fontId="26" fillId="0" borderId="96"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4" fillId="0" borderId="0" xfId="0" applyFont="1" applyBorder="1" applyAlignment="1">
      <alignment horizontal="left"/>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 fontId="4" fillId="0" borderId="0" xfId="0" applyNumberFormat="1" applyFont="1" applyBorder="1" applyAlignment="1">
      <alignment horizontal="center"/>
    </xf>
    <xf numFmtId="170" fontId="0" fillId="0" borderId="0" xfId="0" applyNumberFormat="1" applyBorder="1" applyAlignment="1">
      <alignment horizontal="center"/>
    </xf>
    <xf numFmtId="170" fontId="4" fillId="0" borderId="0" xfId="0" applyNumberFormat="1" applyFont="1" applyBorder="1" applyAlignment="1">
      <alignment horizontal="center"/>
    </xf>
    <xf numFmtId="0" fontId="0" fillId="0" borderId="70" xfId="0" applyNumberFormat="1" applyBorder="1"/>
    <xf numFmtId="0" fontId="0" fillId="0" borderId="115" xfId="0" applyNumberFormat="1" applyBorder="1"/>
    <xf numFmtId="0" fontId="0" fillId="0" borderId="72" xfId="0" applyNumberFormat="1" applyBorder="1"/>
    <xf numFmtId="0" fontId="0" fillId="0" borderId="69" xfId="0" applyNumberFormat="1" applyBorder="1"/>
    <xf numFmtId="0" fontId="0" fillId="0" borderId="89" xfId="0" applyNumberFormat="1" applyBorder="1"/>
    <xf numFmtId="0" fontId="0" fillId="0" borderId="114" xfId="0" applyNumberFormat="1" applyBorder="1"/>
    <xf numFmtId="0" fontId="0" fillId="0" borderId="0" xfId="0" applyNumberFormat="1"/>
    <xf numFmtId="0" fontId="0" fillId="0" borderId="71" xfId="0" applyNumberFormat="1" applyBorder="1"/>
    <xf numFmtId="0" fontId="0" fillId="0" borderId="116" xfId="0" applyNumberFormat="1" applyBorder="1"/>
  </cellXfs>
  <cellStyles count="2">
    <cellStyle name="Hyperlink" xfId="1" builtinId="8"/>
    <cellStyle name="Normal" xfId="0" builtinId="0"/>
  </cellStyles>
  <dxfs count="140">
    <dxf>
      <fill>
        <patternFill>
          <bgColor rgb="FFFFFF00"/>
        </patternFill>
      </fill>
    </dxf>
    <dxf>
      <fill>
        <patternFill>
          <bgColor rgb="FF92D050"/>
        </patternFill>
      </fill>
    </dxf>
    <dxf>
      <font>
        <color rgb="FFFF0000"/>
      </font>
    </dxf>
    <dxf>
      <font>
        <color rgb="FFFF0000"/>
      </font>
    </dxf>
    <dxf>
      <font>
        <color rgb="FFFF0000"/>
      </font>
    </dxf>
    <dxf>
      <font>
        <color rgb="FFFF0000"/>
      </font>
    </dxf>
    <dxf>
      <font>
        <b/>
        <i val="0"/>
        <color rgb="FFFF0000"/>
      </font>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915.301814467595" createdVersion="8" refreshedVersion="8" minRefreshableVersion="3" recordCount="50" xr:uid="{31A31B8F-EE25-413E-B849-91AE108870F9}">
  <cacheSource type="worksheet">
    <worksheetSource ref="A1:P51" sheet="Table"/>
  </cacheSource>
  <cacheFields count="16">
    <cacheField name="PL46/Week 05" numFmtId="0">
      <sharedItems containsBlank="1"/>
    </cacheField>
    <cacheField name="Place Prize" numFmtId="0">
      <sharedItems containsBlank="1"/>
    </cacheField>
    <cacheField name="Promotion/_x000a_Relegation" numFmtId="0">
      <sharedItems containsBlank="1"/>
    </cacheField>
    <cacheField name="Pos" numFmtId="0">
      <sharedItems containsString="0" containsBlank="1" containsNumber="1" containsInteger="1" minValue="1" maxValue="16"/>
    </cacheField>
    <cacheField name="Div" numFmtId="0">
      <sharedItems containsBlank="1"/>
    </cacheField>
    <cacheField name="Player" numFmtId="0">
      <sharedItems containsBlank="1"/>
    </cacheField>
    <cacheField name="↓" numFmtId="0">
      <sharedItems containsNonDate="0" containsString="0" containsBlank="1"/>
    </cacheField>
    <cacheField name="New_x000a_Div" numFmtId="0">
      <sharedItems containsBlank="1"/>
    </cacheField>
    <cacheField name="Total_x000a_Score" numFmtId="170">
      <sharedItems containsString="0" containsBlank="1" containsNumber="1" minValue="-33.6" maxValue="27.800000000000004"/>
    </cacheField>
    <cacheField name="Total_x000a_correct" numFmtId="1">
      <sharedItems containsString="0" containsBlank="1" containsNumber="1" containsInteger="1" minValue="1" maxValue="9"/>
    </cacheField>
    <cacheField name="Week_x000a_Score" numFmtId="170">
      <sharedItems containsString="0" containsBlank="1" containsNumber="1" minValue="-7" maxValue="24.64"/>
    </cacheField>
    <cacheField name="Week_x000a_Correct" numFmtId="1">
      <sharedItems containsString="0" containsBlank="1" containsNumber="1" containsInteger="1" minValue="0" maxValue="3" count="5">
        <n v="2"/>
        <n v="0"/>
        <n v="1"/>
        <n v="3"/>
        <m/>
      </sharedItems>
    </cacheField>
    <cacheField name="League_x000a_Place_x000a_Prize" numFmtId="8">
      <sharedItems containsString="0" containsBlank="1" containsNumber="1" minValue="0" maxValue="64.75"/>
    </cacheField>
    <cacheField name="Weekly_x000a_Prizes" numFmtId="8">
      <sharedItems containsString="0" containsBlank="1" containsNumber="1" containsInteger="1" minValue="0" maxValue="15"/>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74.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915.301893402779" createdVersion="8" refreshedVersion="8" minRefreshableVersion="3" recordCount="135" xr:uid="{FAE3A33F-9685-4F79-A7BA-B74E7B123EA5}">
  <cacheSource type="worksheet">
    <worksheetSource ref="J1:N136" sheet="Picks"/>
  </cacheSource>
  <cacheFields count="5">
    <cacheField name="Wk1" numFmtId="0">
      <sharedItems containsBlank="1" count="157">
        <s v="West Ham draw"/>
        <s v="Wimbledon draw"/>
        <s v="Gillingham draw"/>
        <s v="Fleetwood"/>
        <s v="Gillingham"/>
        <s v="Grimsby"/>
        <s v="West Brom"/>
        <s v="Barnsley"/>
        <s v="Swindon"/>
        <s v="Sunderland"/>
        <s v="Wolves"/>
        <s v="Everton"/>
        <s v="Bournemouth draw"/>
        <s v="Accrington draw"/>
        <s v="Chesterfield draw"/>
        <s v="Bournemouth"/>
        <s v="Fulham"/>
        <s v="Spurs"/>
        <s v="Newcastle"/>
        <s v="Crewe"/>
        <s v="Everton draw"/>
        <s v="Man U"/>
        <s v="Palace"/>
        <s v="Bristol C"/>
        <s v="Salford"/>
        <s v="Walsall"/>
        <s v="Orient draw"/>
        <s v="Middlesbro"/>
        <s v="Charlton"/>
        <s v="QPR"/>
        <s v="Southampton draw"/>
        <s v="Forest"/>
        <s v="Chelsea"/>
        <s v="Leeds"/>
        <s v="Coventry"/>
        <s v="Stoke"/>
        <s v="Cardiff"/>
        <s v="Preston draw"/>
        <s v="Wigan"/>
        <s v="Wrexham"/>
        <s v="Blackpool"/>
        <s v="Liverpool"/>
        <s v="Wimbledon"/>
        <s v="Luton"/>
        <s v="Leicester"/>
        <s v="Lincoln"/>
        <s v="Doncaster"/>
        <s v="Fulham draw"/>
        <s v="Arsenal"/>
        <s v="Watford"/>
        <s v="Orient"/>
        <s v="Chesterfield"/>
        <s v="Man C"/>
        <s v="Portsmouth"/>
        <s v="Sheff U"/>
        <s v="Charlton draw"/>
        <s v="Bradford draw"/>
        <m/>
        <s v="Tranmere"/>
        <s v="Exeter"/>
        <s v="Oldham"/>
        <s v="Stevenage"/>
        <s v="Huddersfield"/>
        <s v="Doncaster draw" u="1"/>
        <s v="Lincoln draw" u="1"/>
        <s v="Port Vale draw" u="1"/>
        <s v="Rotherham" u="1"/>
        <s v="Bromley draw" u="1"/>
        <s v="Mansfield" u="1"/>
        <s v="Barnet" u="1"/>
        <s v="Scotland" u="1"/>
        <s v="France" u="1"/>
        <s v="Latvia" u="1"/>
        <s v="Plymouth draw" u="1"/>
        <s v="Sweden" u="1"/>
        <s v="Lithuania" u="1"/>
        <s v="N Ireland" u="1"/>
        <s v="Wycombe" u="1"/>
        <s v="Ireland draw" u="1"/>
        <s v="Barnet draw" u="1"/>
        <s v="Bromley" u="1"/>
        <s v="MK Dons" u="1"/>
        <s v="Georgia" u="1"/>
        <s v="Hungary" u="1"/>
        <s v="Stockport" u="1"/>
        <s v="Cambridge" u="1"/>
        <s v="Harrogate" u="1"/>
        <s v="Turkey" u="1"/>
        <s v="Kazakhstan" u="1"/>
        <s v="Denmark" u="1"/>
        <s v="Moldova draw" u="1"/>
        <s v="Slovenia draw" u="1"/>
        <s v="Bradford" u="1"/>
        <s v="Ireland" u="1"/>
        <s v="Barrow draw" u="1"/>
        <s v="Cheltenham draw" u="1"/>
        <s v="Italy" u="1"/>
        <s v="Austria" u="1"/>
        <s v="Switzerland" u="1"/>
        <s v="Bolton" u="1"/>
        <s v="MK Dons draw" u="1"/>
        <s v="Plymouth" u="1"/>
        <s v="Port Vale" u="1"/>
        <s v="Andorra" u="1"/>
        <s v="Harrogate draw" u="1"/>
        <s v="Walsall draw" u="1"/>
        <s v="Georgia draw" u="1"/>
        <s v="Newport draw" u="1"/>
        <s v="Armenia draw" u="1"/>
        <s v="Bristol R" u="1"/>
        <s v="Salford draw" u="1"/>
        <s v="Netherlands" u="1"/>
        <s v="Iceland" u="1"/>
        <s v="Notts Co" u="1"/>
        <s v="Wolves draw" u="1"/>
        <s v="Burnley" u="1"/>
        <s v="Villa" u="1"/>
        <s v="Reading" u="1"/>
        <s v="Spurs draw" u="1"/>
        <s v="Brentford" u="1"/>
        <s v="Southampton" u="1"/>
        <s v="Stoke draw" u="1"/>
        <s v="West Ham" u="1"/>
        <s v="Leeds draw" u="1"/>
        <s v="Liverpool draw" u="1"/>
        <s v="Ipswich" u="1"/>
        <s v="Swansea" u="1"/>
        <s v="QPR draw" u="1"/>
        <s v="Brighton" u="1"/>
        <s v="Barnsley draw" u="1"/>
        <s v="Millwall" u="1"/>
        <s v="Blackburn" u="1"/>
        <s v="Tranmere draw" u="1"/>
        <s v="Shrewsbury" u="1"/>
        <s v="Hull draw" u="1"/>
        <s v="Norwich draw" u="1"/>
        <s v="Bristol R draw" u="1"/>
        <s v="Coventry draw" u="1"/>
        <s v="Brentford draw" u="1"/>
        <s v="West Brom draw" u="1"/>
        <s v="Mansfield draw" u="1"/>
        <s v="Birmingham" u="1"/>
        <s v="Hull" u="1"/>
        <s v="Palace draw" u="1"/>
        <s v="Birmingham draw" u="1"/>
        <s v="Crawley draw" u="1"/>
        <s v="Peterbro" u="1"/>
        <s v="Oldham draw" u="1"/>
        <s v="Blackburn draw" u="1"/>
        <s v="Wrexham draw" u="1"/>
        <s v="Brighton draw" u="1"/>
        <s v="Man U draw" u="1"/>
        <s v="Burton" u="1"/>
        <s v="Sunderland draw" u="1"/>
        <s v="Villa draw" u="1"/>
        <s v="Norwich" u="1"/>
        <s v="Chelsea draw" u="1"/>
      </sharedItems>
    </cacheField>
    <cacheField name="Frac" numFmtId="0">
      <sharedItems/>
    </cacheField>
    <cacheField name="Dec" numFmtId="175">
      <sharedItems containsMixedTypes="1" containsNumber="1" minValue="1.3" maxValue="7.5"/>
    </cacheField>
    <cacheField name="Bet up " numFmtId="0">
      <sharedItems containsMixedTypes="1" containsNumber="1" containsInteger="1" minValue="0" maxValue="1" count="3">
        <n v="0"/>
        <n v="1"/>
        <e v="#N/A"/>
      </sharedItems>
    </cacheField>
    <cacheField name="Points" numFmtId="2">
      <sharedItems containsMixedTypes="1" containsNumber="1" minValue="0"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Simon Greenhalgh"/>
    <m/>
    <s v="A"/>
    <n v="27.800000000000004"/>
    <n v="7"/>
    <n v="5.6"/>
    <x v="0"/>
    <n v="64.75"/>
    <n v="10"/>
    <n v="0"/>
    <n v="74.75"/>
  </r>
  <r>
    <m/>
    <s v="A2"/>
    <s v="↔"/>
    <n v="2"/>
    <s v="A"/>
    <s v="Lennie Bow"/>
    <m/>
    <s v="A"/>
    <n v="-4.1271428571428581"/>
    <n v="9"/>
    <n v="-7"/>
    <x v="1"/>
    <n v="46.25"/>
    <n v="5"/>
    <n v="0"/>
    <n v="51.25"/>
  </r>
  <r>
    <m/>
    <s v="A3"/>
    <s v="↔"/>
    <n v="3"/>
    <s v="A"/>
    <s v="Paul Adderley"/>
    <m/>
    <s v="A"/>
    <n v="-5.0166666666666648"/>
    <n v="5"/>
    <n v="-1.8666666666666671"/>
    <x v="0"/>
    <n v="33.299999999999997"/>
    <n v="10"/>
    <n v="0"/>
    <n v="43.3"/>
  </r>
  <r>
    <m/>
    <s v="A4"/>
    <s v="↔"/>
    <n v="4"/>
    <s v="A"/>
    <s v="Alan White"/>
    <m/>
    <s v="A"/>
    <n v="-6.2275000000000027"/>
    <n v="8"/>
    <n v="-0.40000000000000036"/>
    <x v="0"/>
    <n v="22.2"/>
    <n v="0"/>
    <n v="0"/>
    <n v="22.2"/>
  </r>
  <r>
    <m/>
    <s v="A5"/>
    <s v="↔"/>
    <n v="5"/>
    <s v="A"/>
    <s v="Gerard Ventom"/>
    <m/>
    <s v="A"/>
    <n v="-8.2399999999999967"/>
    <n v="5"/>
    <n v="7.120000000000001"/>
    <x v="0"/>
    <n v="12.95"/>
    <n v="0"/>
    <n v="0"/>
    <n v="12.95"/>
  </r>
  <r>
    <m/>
    <s v="A6"/>
    <s v="↔"/>
    <n v="6"/>
    <s v="A"/>
    <s v="Chris Luck"/>
    <m/>
    <s v="A"/>
    <n v="-10.205"/>
    <n v="7"/>
    <n v="-4.8499999999999996"/>
    <x v="2"/>
    <n v="5.55"/>
    <n v="5"/>
    <n v="0"/>
    <n v="10.55"/>
  </r>
  <r>
    <m/>
    <s v="A7"/>
    <s v="↔"/>
    <n v="7"/>
    <s v="A"/>
    <s v="Gareth Powell"/>
    <m/>
    <s v="A"/>
    <n v="-10.85"/>
    <n v="3"/>
    <n v="-4.8499999999999996"/>
    <x v="2"/>
    <n v="0"/>
    <n v="5"/>
    <n v="0"/>
    <n v="5"/>
  </r>
  <r>
    <m/>
    <s v="A8"/>
    <s v="↔"/>
    <n v="8"/>
    <s v="A"/>
    <s v="Dan Gibbard"/>
    <m/>
    <s v="A"/>
    <n v="-10.95"/>
    <n v="3"/>
    <n v="15.5"/>
    <x v="0"/>
    <n v="0"/>
    <n v="5"/>
    <n v="0"/>
    <n v="5"/>
  </r>
  <r>
    <m/>
    <s v="A9"/>
    <s v="Play-off"/>
    <n v="9"/>
    <s v="A"/>
    <s v="Mark Bunn"/>
    <m/>
    <s v="A"/>
    <n v="-11.219999999999999"/>
    <n v="6"/>
    <n v="2.5399999999999991"/>
    <x v="0"/>
    <n v="0"/>
    <n v="0"/>
    <n v="0"/>
    <n v="0"/>
  </r>
  <r>
    <m/>
    <s v="A10"/>
    <s v="Play-off"/>
    <n v="10"/>
    <s v="A"/>
    <s v="Rob England"/>
    <m/>
    <s v="A"/>
    <n v="-14.449494949494948"/>
    <n v="7"/>
    <n v="-0.88888888888888928"/>
    <x v="0"/>
    <n v="0"/>
    <n v="0"/>
    <n v="0"/>
    <n v="0"/>
  </r>
  <r>
    <m/>
    <s v="A11"/>
    <s v="↓"/>
    <n v="11"/>
    <s v="A"/>
    <s v="Nigel Heyes"/>
    <m/>
    <s v="A"/>
    <n v="-21.316666666666666"/>
    <n v="4"/>
    <n v="-7"/>
    <x v="1"/>
    <n v="0"/>
    <n v="0"/>
    <n v="0"/>
    <n v="0"/>
  </r>
  <r>
    <m/>
    <s v="A12"/>
    <s v="↓"/>
    <n v="12"/>
    <s v="A"/>
    <s v="Chris Griffin"/>
    <m/>
    <s v="A"/>
    <n v="-21.733333333333334"/>
    <n v="4"/>
    <n v="2.2666666666666675"/>
    <x v="0"/>
    <n v="0"/>
    <n v="0"/>
    <n v="0"/>
    <n v="0"/>
  </r>
  <r>
    <m/>
    <s v="A13"/>
    <s v="↓"/>
    <n v="13"/>
    <s v="A"/>
    <s v="Paul Allen"/>
    <m/>
    <s v="A"/>
    <n v="-23.849999999999998"/>
    <n v="4"/>
    <n v="-3.8"/>
    <x v="2"/>
    <n v="0"/>
    <n v="0"/>
    <n v="0"/>
    <n v="0"/>
  </r>
  <r>
    <m/>
    <s v="A14"/>
    <s v="↓"/>
    <n v="14"/>
    <s v="A"/>
    <s v="Mike Penk"/>
    <m/>
    <s v="A"/>
    <n v="-25.028571428571432"/>
    <n v="5"/>
    <n v="-5.15"/>
    <x v="2"/>
    <n v="0"/>
    <n v="0"/>
    <n v="0"/>
    <n v="0"/>
  </r>
  <r>
    <m/>
    <s v="A15"/>
    <s v="↓"/>
    <n v="15"/>
    <s v="A"/>
    <s v="Tom Robinson"/>
    <m/>
    <s v="A"/>
    <n v="-25.394444444444446"/>
    <n v="3"/>
    <n v="0.55555555555555536"/>
    <x v="0"/>
    <n v="0"/>
    <n v="0"/>
    <n v="0"/>
    <n v="0"/>
  </r>
  <r>
    <m/>
    <s v="A16"/>
    <s v="↓"/>
    <n v="16"/>
    <s v="A"/>
    <s v="Stephen Barr"/>
    <m/>
    <s v="A"/>
    <n v="-29.090909090909086"/>
    <n v="3"/>
    <n v="-4.8499999999999996"/>
    <x v="2"/>
    <n v="0"/>
    <n v="0"/>
    <n v="0"/>
    <n v="0"/>
  </r>
  <r>
    <s v="Division B"/>
    <s v="B1"/>
    <s v="↑"/>
    <n v="1"/>
    <s v="B"/>
    <s v="Ben Rosser"/>
    <m/>
    <s v="B"/>
    <n v="20.70218181818182"/>
    <n v="6"/>
    <n v="4.2181818181818187"/>
    <x v="0"/>
    <n v="45.325000000000003"/>
    <n v="5"/>
    <n v="0"/>
    <n v="50.325000000000003"/>
  </r>
  <r>
    <m/>
    <s v="B2"/>
    <s v="↑"/>
    <n v="2"/>
    <s v="B"/>
    <s v="Alan Rogers"/>
    <m/>
    <s v="B"/>
    <n v="20.110000000000014"/>
    <n v="6"/>
    <n v="-4.7"/>
    <x v="2"/>
    <n v="32.375"/>
    <n v="10"/>
    <n v="0"/>
    <n v="42.375"/>
  </r>
  <r>
    <m/>
    <s v="B3"/>
    <s v="↑"/>
    <n v="3"/>
    <s v="B"/>
    <s v="Martin Tarbuck"/>
    <m/>
    <s v="B"/>
    <n v="2.1981111111111131"/>
    <n v="9"/>
    <n v="9.1120000000000019"/>
    <x v="3"/>
    <n v="23.31"/>
    <n v="0"/>
    <n v="0"/>
    <n v="23.31"/>
  </r>
  <r>
    <m/>
    <s v="B4"/>
    <s v="↑"/>
    <n v="4"/>
    <s v="B"/>
    <s v="Mark Saunders"/>
    <m/>
    <s v="B"/>
    <n v="-2.5642857142857149"/>
    <n v="6"/>
    <n v="-7"/>
    <x v="1"/>
    <n v="15.54"/>
    <n v="5"/>
    <n v="0"/>
    <n v="20.54"/>
  </r>
  <r>
    <m/>
    <s v="B5"/>
    <s v="↑"/>
    <n v="5"/>
    <s v="B"/>
    <s v="Nick Blocksidge"/>
    <m/>
    <s v="B"/>
    <n v="-2.9664646464646456"/>
    <n v="7"/>
    <n v="-5.5555555555555554"/>
    <x v="2"/>
    <n v="9.0649999999999995"/>
    <n v="10"/>
    <n v="0"/>
    <n v="19.064999999999998"/>
  </r>
  <r>
    <m/>
    <s v="B6"/>
    <s v="↑"/>
    <n v="6"/>
    <s v="B"/>
    <s v="Barry Birchall"/>
    <m/>
    <s v="B"/>
    <n v="-11.451719576719578"/>
    <n v="8"/>
    <n v="-1.4814814814814827"/>
    <x v="0"/>
    <n v="3.8849999999999998"/>
    <n v="0"/>
    <n v="0"/>
    <n v="3.8849999999999998"/>
  </r>
  <r>
    <m/>
    <s v="B7"/>
    <s v="Play-off"/>
    <n v="7"/>
    <s v="B"/>
    <s v="Howard Bradley"/>
    <m/>
    <s v="B"/>
    <n v="-16.169090909090908"/>
    <n v="7"/>
    <n v="-7"/>
    <x v="1"/>
    <n v="0"/>
    <n v="0"/>
    <n v="0"/>
    <n v="0"/>
  </r>
  <r>
    <m/>
    <s v="B8"/>
    <s v="Play-off"/>
    <n v="8"/>
    <s v="B"/>
    <s v="Kevin Carter"/>
    <m/>
    <s v="B"/>
    <n v="-16.638888888888889"/>
    <n v="6"/>
    <n v="-7"/>
    <x v="1"/>
    <n v="0"/>
    <n v="0"/>
    <n v="0"/>
    <n v="0"/>
  </r>
  <r>
    <m/>
    <s v="B9"/>
    <s v="Play-off"/>
    <n v="9"/>
    <s v="B"/>
    <s v="Steve Waterhouse"/>
    <m/>
    <s v="B"/>
    <n v="-18.286666666666669"/>
    <n v="5"/>
    <n v="-4.9000000000000004"/>
    <x v="2"/>
    <n v="0"/>
    <n v="0"/>
    <n v="0"/>
    <n v="0"/>
  </r>
  <r>
    <m/>
    <s v="B10"/>
    <s v="Play-off"/>
    <n v="10"/>
    <s v="B"/>
    <s v="Bob Bailey"/>
    <m/>
    <s v="B"/>
    <n v="-18.581818181818182"/>
    <n v="4"/>
    <n v="1.0181818181818194"/>
    <x v="0"/>
    <n v="0"/>
    <n v="0"/>
    <n v="0"/>
    <n v="0"/>
  </r>
  <r>
    <m/>
    <s v="B11"/>
    <s v="↓"/>
    <n v="11"/>
    <s v="B"/>
    <s v="Martin Molyneux"/>
    <m/>
    <s v="B"/>
    <n v="-19.786363636363635"/>
    <n v="5"/>
    <n v="1.163636363636364"/>
    <x v="0"/>
    <n v="0"/>
    <n v="0"/>
    <n v="0"/>
    <n v="0"/>
  </r>
  <r>
    <m/>
    <s v="B12"/>
    <s v="↓"/>
    <n v="12"/>
    <s v="B"/>
    <s v="Phil Miller"/>
    <m/>
    <s v="B"/>
    <n v="-20.305"/>
    <n v="4"/>
    <n v="-7"/>
    <x v="1"/>
    <n v="0"/>
    <n v="0"/>
    <n v="0"/>
    <n v="0"/>
  </r>
  <r>
    <m/>
    <s v="B13"/>
    <s v="↓"/>
    <n v="13"/>
    <s v="B"/>
    <s v="Graham Miller"/>
    <m/>
    <s v="B"/>
    <n v="-21.5"/>
    <n v="4"/>
    <n v="-7"/>
    <x v="1"/>
    <n v="0"/>
    <n v="5"/>
    <n v="0"/>
    <n v="5"/>
  </r>
  <r>
    <m/>
    <s v="B14"/>
    <s v="↓"/>
    <n v="14"/>
    <s v="B"/>
    <s v="Alick Rocca"/>
    <m/>
    <s v="B"/>
    <n v="-21.873015873015873"/>
    <n v="5"/>
    <n v="-3.8"/>
    <x v="2"/>
    <n v="0"/>
    <n v="0"/>
    <n v="0"/>
    <n v="0"/>
  </r>
  <r>
    <m/>
    <s v="B15"/>
    <s v="↓"/>
    <n v="15"/>
    <s v="B"/>
    <s v="Dave Bell"/>
    <m/>
    <s v="B"/>
    <n v="-26.2"/>
    <n v="3"/>
    <n v="-7"/>
    <x v="1"/>
    <n v="0"/>
    <n v="0"/>
    <n v="0"/>
    <n v="0"/>
  </r>
  <r>
    <m/>
    <s v="B16"/>
    <s v="↓"/>
    <n v="16"/>
    <s v="B"/>
    <s v="Alan Bond"/>
    <m/>
    <s v="B"/>
    <n v="-28.200000000000003"/>
    <n v="2"/>
    <n v="-7"/>
    <x v="1"/>
    <n v="0"/>
    <n v="0"/>
    <n v="0"/>
    <n v="0"/>
  </r>
  <r>
    <s v="Division C"/>
    <s v="C1"/>
    <s v="↑"/>
    <n v="1"/>
    <s v="C"/>
    <s v="Chris Bow"/>
    <m/>
    <s v="C"/>
    <n v="14.516666666666666"/>
    <n v="8"/>
    <n v="24.64"/>
    <x v="3"/>
    <n v="19.425000000000001"/>
    <n v="15"/>
    <n v="0"/>
    <n v="34.424999999999997"/>
  </r>
  <r>
    <m/>
    <s v="C2"/>
    <s v="↑"/>
    <n v="2"/>
    <s v="C"/>
    <s v="Paul Fairhurst"/>
    <m/>
    <s v="C"/>
    <n v="12.430000000000003"/>
    <n v="6"/>
    <n v="11.270000000000003"/>
    <x v="0"/>
    <n v="13.875"/>
    <n v="15"/>
    <n v="0"/>
    <n v="28.875"/>
  </r>
  <r>
    <m/>
    <s v="C3"/>
    <s v="↑"/>
    <n v="3"/>
    <s v="C"/>
    <s v="Andy White"/>
    <m/>
    <s v="C"/>
    <n v="0.40636363636363626"/>
    <n v="5"/>
    <n v="23.156363636363636"/>
    <x v="3"/>
    <n v="9.99"/>
    <n v="5"/>
    <n v="0"/>
    <n v="14.99"/>
  </r>
  <r>
    <m/>
    <s v="C4"/>
    <s v="↑"/>
    <n v="4"/>
    <s v="C"/>
    <s v="Vinny Topping"/>
    <m/>
    <s v="C"/>
    <n v="-0.76545454545454383"/>
    <n v="4"/>
    <n v="-7"/>
    <x v="1"/>
    <n v="6.66"/>
    <n v="10"/>
    <n v="0"/>
    <n v="16.66"/>
  </r>
  <r>
    <m/>
    <s v="C5"/>
    <s v="↑"/>
    <n v="5"/>
    <s v="C"/>
    <s v="Frank Allen"/>
    <m/>
    <s v="C"/>
    <n v="-2.7861471861471863"/>
    <n v="8"/>
    <n v="3.4000000000000004"/>
    <x v="0"/>
    <n v="3.8849999999999998"/>
    <n v="0"/>
    <n v="0"/>
    <n v="3.8849999999999998"/>
  </r>
  <r>
    <m/>
    <s v="C6"/>
    <s v="↑"/>
    <n v="6"/>
    <s v="C"/>
    <s v="Steve Carter"/>
    <m/>
    <s v="C"/>
    <n v="-12.134999999999998"/>
    <n v="6"/>
    <n v="2.7100000000000009"/>
    <x v="0"/>
    <n v="1.665"/>
    <n v="0"/>
    <n v="0"/>
    <n v="1.665"/>
  </r>
  <r>
    <m/>
    <s v="C7"/>
    <s v="Play-off"/>
    <n v="7"/>
    <s v="C"/>
    <s v="David Dunn"/>
    <m/>
    <s v="C"/>
    <n v="-13.397922077922077"/>
    <n v="7"/>
    <n v="-4.8499999999999996"/>
    <x v="2"/>
    <n v="0"/>
    <n v="0"/>
    <n v="0"/>
    <n v="0"/>
  </r>
  <r>
    <m/>
    <s v="C8"/>
    <s v="Play-off"/>
    <n v="8"/>
    <s v="C"/>
    <s v="Paul Barnes"/>
    <m/>
    <s v="C"/>
    <n v="-14.288888888888888"/>
    <n v="6"/>
    <n v="-0.8888888888888884"/>
    <x v="0"/>
    <n v="0"/>
    <n v="5"/>
    <n v="0"/>
    <n v="5"/>
  </r>
  <r>
    <m/>
    <s v="C9"/>
    <s v="↔"/>
    <n v="9"/>
    <s v="C"/>
    <s v="Charlie Griffiths"/>
    <m/>
    <s v="C"/>
    <n v="-18.75"/>
    <n v="3"/>
    <n v="7.0500000000000007"/>
    <x v="0"/>
    <n v="0"/>
    <n v="0"/>
    <n v="0"/>
    <n v="0"/>
  </r>
  <r>
    <m/>
    <s v="C10"/>
    <s v="↔"/>
    <n v="10"/>
    <s v="C"/>
    <s v="Julie Dodd"/>
    <m/>
    <s v="C"/>
    <n v="-19.484166666666663"/>
    <n v="5"/>
    <n v="-0.75499999999999989"/>
    <x v="0"/>
    <n v="0"/>
    <n v="0"/>
    <n v="0"/>
    <n v="0"/>
  </r>
  <r>
    <m/>
    <s v="C11"/>
    <s v="↔"/>
    <n v="11"/>
    <s v="C"/>
    <s v="Jack Walsh"/>
    <m/>
    <s v="C"/>
    <n v="-23.530555555555555"/>
    <n v="5"/>
    <n v="-5.7"/>
    <x v="2"/>
    <n v="0"/>
    <n v="0"/>
    <n v="0"/>
    <n v="0"/>
  </r>
  <r>
    <m/>
    <s v="C12"/>
    <s v="↔"/>
    <n v="12"/>
    <s v="C"/>
    <s v="Dot Bow"/>
    <m/>
    <s v="C"/>
    <n v="-23.885858585858585"/>
    <n v="4"/>
    <n v="-5.5555555555555554"/>
    <x v="2"/>
    <n v="0"/>
    <n v="0"/>
    <n v="0"/>
    <n v="0"/>
  </r>
  <r>
    <m/>
    <s v="C13"/>
    <s v="↔"/>
    <n v="13"/>
    <s v="C"/>
    <s v="Katy Savory"/>
    <m/>
    <s v="C"/>
    <n v="-26.700000000000003"/>
    <n v="6"/>
    <n v="-1.8666666666666671"/>
    <x v="0"/>
    <n v="0"/>
    <n v="0"/>
    <n v="0"/>
    <n v="0"/>
  </r>
  <r>
    <m/>
    <s v="C14"/>
    <s v="↔"/>
    <n v="14"/>
    <s v="C"/>
    <s v="Alex Griffin"/>
    <m/>
    <s v="C"/>
    <n v="-33.6"/>
    <n v="1"/>
    <n v="-7"/>
    <x v="1"/>
    <n v="0"/>
    <n v="0"/>
    <n v="0"/>
    <n v="0"/>
  </r>
  <r>
    <m/>
    <m/>
    <m/>
    <m/>
    <m/>
    <m/>
    <m/>
    <m/>
    <m/>
    <m/>
    <m/>
    <x v="4"/>
    <m/>
    <m/>
    <m/>
    <m/>
  </r>
  <r>
    <m/>
    <m/>
    <m/>
    <m/>
    <m/>
    <m/>
    <m/>
    <m/>
    <m/>
    <m/>
    <m/>
    <x v="4"/>
    <m/>
    <m/>
    <m/>
    <m/>
  </r>
  <r>
    <m/>
    <m/>
    <m/>
    <m/>
    <m/>
    <m/>
    <m/>
    <m/>
    <m/>
    <m/>
    <m/>
    <x v="4"/>
    <m/>
    <m/>
    <m/>
    <m/>
  </r>
  <r>
    <m/>
    <s v=""/>
    <m/>
    <m/>
    <m/>
    <m/>
    <m/>
    <m/>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5">
  <r>
    <x v="0"/>
    <s v="12/5"/>
    <n v="3.4"/>
    <x v="0"/>
    <n v="0"/>
  </r>
  <r>
    <x v="1"/>
    <s v="21/10"/>
    <n v="3.1"/>
    <x v="0"/>
    <n v="0"/>
  </r>
  <r>
    <x v="2"/>
    <s v="2/1"/>
    <n v="3"/>
    <x v="0"/>
    <n v="0"/>
  </r>
  <r>
    <x v="3"/>
    <s v="7/4"/>
    <n v="2.75"/>
    <x v="0"/>
    <n v="0"/>
  </r>
  <r>
    <x v="4"/>
    <s v="13/10"/>
    <n v="2.2999999999999998"/>
    <x v="1"/>
    <n v="2.2999999999999998"/>
  </r>
  <r>
    <x v="5"/>
    <s v="23/20"/>
    <n v="2.15"/>
    <x v="0"/>
    <n v="0"/>
  </r>
  <r>
    <x v="6"/>
    <s v="4/5"/>
    <n v="1.8"/>
    <x v="0"/>
    <n v="0"/>
  </r>
  <r>
    <x v="7"/>
    <s v="17/20"/>
    <n v="1.85"/>
    <x v="1"/>
    <n v="1.85"/>
  </r>
  <r>
    <x v="8"/>
    <s v="4/6"/>
    <n v="1.6666666666666665"/>
    <x v="1"/>
    <n v="1.6666666666666665"/>
  </r>
  <r>
    <x v="9"/>
    <s v="4/1"/>
    <n v="5"/>
    <x v="0"/>
    <n v="0"/>
  </r>
  <r>
    <x v="10"/>
    <s v="11/2"/>
    <n v="6.5"/>
    <x v="0"/>
    <n v="0"/>
  </r>
  <r>
    <x v="11"/>
    <s v="29/20"/>
    <n v="2.4500000000000002"/>
    <x v="0"/>
    <n v="0"/>
  </r>
  <r>
    <x v="12"/>
    <s v="5/2"/>
    <n v="3.5"/>
    <x v="0"/>
    <n v="0"/>
  </r>
  <r>
    <x v="13"/>
    <s v="2/1"/>
    <n v="3"/>
    <x v="0"/>
    <n v="0"/>
  </r>
  <r>
    <x v="14"/>
    <s v="11/5"/>
    <n v="3.2"/>
    <x v="1"/>
    <n v="3.2"/>
  </r>
  <r>
    <x v="15"/>
    <s v="7/5"/>
    <n v="2.4"/>
    <x v="1"/>
    <n v="2.4"/>
  </r>
  <r>
    <x v="16"/>
    <s v="10/11"/>
    <n v="1.9090909090909092"/>
    <x v="1"/>
    <n v="1.9090909090909092"/>
  </r>
  <r>
    <x v="17"/>
    <s v="23/20"/>
    <n v="2.15"/>
    <x v="1"/>
    <n v="2.15"/>
  </r>
  <r>
    <x v="18"/>
    <s v="4/9"/>
    <n v="1.4444444444444444"/>
    <x v="1"/>
    <n v="1.4444444444444444"/>
  </r>
  <r>
    <x v="19"/>
    <s v="6/4"/>
    <n v="2.5"/>
    <x v="0"/>
    <n v="0"/>
  </r>
  <r>
    <x v="8"/>
    <s v="4/6"/>
    <n v="1.6666666666666665"/>
    <x v="1"/>
    <n v="1.6666666666666665"/>
  </r>
  <r>
    <x v="20"/>
    <s v="11/5"/>
    <n v="3.2"/>
    <x v="1"/>
    <n v="3.2"/>
  </r>
  <r>
    <x v="16"/>
    <s v="10/11"/>
    <n v="1.9090909090909092"/>
    <x v="1"/>
    <n v="1.9090909090909092"/>
  </r>
  <r>
    <x v="21"/>
    <s v="18/5"/>
    <n v="4.5999999999999996"/>
    <x v="0"/>
    <n v="0"/>
  </r>
  <r>
    <x v="16"/>
    <s v="10/11"/>
    <n v="1.9090909090909092"/>
    <x v="1"/>
    <n v="1.9090909090909092"/>
  </r>
  <r>
    <x v="22"/>
    <s v="8/13"/>
    <n v="1.6153846153846154"/>
    <x v="0"/>
    <n v="0"/>
  </r>
  <r>
    <x v="23"/>
    <s v="11/10"/>
    <n v="2.1"/>
    <x v="1"/>
    <n v="2.1"/>
  </r>
  <r>
    <x v="24"/>
    <s v="6/4"/>
    <n v="2.5"/>
    <x v="1"/>
    <n v="2.5"/>
  </r>
  <r>
    <x v="25"/>
    <s v="6/4"/>
    <n v="2.5"/>
    <x v="0"/>
    <n v="0"/>
  </r>
  <r>
    <x v="26"/>
    <s v="23/10"/>
    <n v="3.3"/>
    <x v="1"/>
    <n v="3.3"/>
  </r>
  <r>
    <x v="15"/>
    <s v="7/5"/>
    <n v="2.4"/>
    <x v="1"/>
    <n v="2.4"/>
  </r>
  <r>
    <x v="16"/>
    <s v="10/11"/>
    <n v="1.9090909090909092"/>
    <x v="1"/>
    <n v="1.9090909090909092"/>
  </r>
  <r>
    <x v="4"/>
    <s v="13/10"/>
    <n v="2.2999999999999998"/>
    <x v="1"/>
    <n v="2.2999999999999998"/>
  </r>
  <r>
    <x v="20"/>
    <s v="11/5"/>
    <n v="3.2"/>
    <x v="1"/>
    <n v="3.2"/>
  </r>
  <r>
    <x v="18"/>
    <s v="4/9"/>
    <n v="1.4444444444444444"/>
    <x v="1"/>
    <n v="1.4444444444444444"/>
  </r>
  <r>
    <x v="27"/>
    <s v="29/20"/>
    <n v="2.4500000000000002"/>
    <x v="0"/>
    <n v="0"/>
  </r>
  <r>
    <x v="11"/>
    <s v="29/20"/>
    <n v="2.4500000000000002"/>
    <x v="0"/>
    <n v="0"/>
  </r>
  <r>
    <x v="17"/>
    <s v="23/20"/>
    <n v="2.15"/>
    <x v="1"/>
    <n v="2.15"/>
  </r>
  <r>
    <x v="28"/>
    <s v="13/10"/>
    <n v="2.2999999999999998"/>
    <x v="0"/>
    <n v="0"/>
  </r>
  <r>
    <x v="6"/>
    <s v="4/5"/>
    <n v="1.8"/>
    <x v="0"/>
    <n v="0"/>
  </r>
  <r>
    <x v="29"/>
    <s v="3/1"/>
    <n v="4"/>
    <x v="1"/>
    <n v="4"/>
  </r>
  <r>
    <x v="30"/>
    <s v="27/10"/>
    <n v="3.7"/>
    <x v="1"/>
    <n v="3.7"/>
  </r>
  <r>
    <x v="31"/>
    <s v="13/2"/>
    <n v="7.5"/>
    <x v="0"/>
    <n v="0"/>
  </r>
  <r>
    <x v="10"/>
    <s v="11/2"/>
    <n v="6.5"/>
    <x v="0"/>
    <n v="0"/>
  </r>
  <r>
    <x v="9"/>
    <s v="4/1"/>
    <n v="5"/>
    <x v="0"/>
    <n v="0"/>
  </r>
  <r>
    <x v="32"/>
    <s v="3/4"/>
    <n v="1.75"/>
    <x v="0"/>
    <n v="0"/>
  </r>
  <r>
    <x v="33"/>
    <s v="29/10"/>
    <n v="3.9"/>
    <x v="0"/>
    <n v="0"/>
  </r>
  <r>
    <x v="17"/>
    <s v="23/20"/>
    <n v="2.15"/>
    <x v="1"/>
    <n v="2.15"/>
  </r>
  <r>
    <x v="34"/>
    <s v="8/11"/>
    <n v="1.7272727272727273"/>
    <x v="0"/>
    <n v="0"/>
  </r>
  <r>
    <x v="35"/>
    <s v="2/1"/>
    <n v="3"/>
    <x v="1"/>
    <n v="3"/>
  </r>
  <r>
    <x v="7"/>
    <s v="17/20"/>
    <n v="1.85"/>
    <x v="1"/>
    <n v="1.85"/>
  </r>
  <r>
    <x v="11"/>
    <s v="29/20"/>
    <n v="2.4500000000000002"/>
    <x v="0"/>
    <n v="0"/>
  </r>
  <r>
    <x v="17"/>
    <s v="23/20"/>
    <n v="2.15"/>
    <x v="1"/>
    <n v="2.15"/>
  </r>
  <r>
    <x v="36"/>
    <s v="6/4"/>
    <n v="2.5"/>
    <x v="0"/>
    <n v="0"/>
  </r>
  <r>
    <x v="12"/>
    <s v="5/2"/>
    <n v="3.5"/>
    <x v="0"/>
    <n v="0"/>
  </r>
  <r>
    <x v="37"/>
    <s v="11/5"/>
    <n v="3.2"/>
    <x v="1"/>
    <n v="3.2"/>
  </r>
  <r>
    <x v="38"/>
    <s v="8/5"/>
    <n v="2.6"/>
    <x v="1"/>
    <n v="2.6"/>
  </r>
  <r>
    <x v="33"/>
    <s v="29/10"/>
    <n v="3.9"/>
    <x v="0"/>
    <n v="0"/>
  </r>
  <r>
    <x v="10"/>
    <s v="11/2"/>
    <n v="6.5"/>
    <x v="0"/>
    <n v="0"/>
  </r>
  <r>
    <x v="21"/>
    <s v="18/5"/>
    <n v="4.5999999999999996"/>
    <x v="0"/>
    <n v="0"/>
  </r>
  <r>
    <x v="6"/>
    <s v="4/5"/>
    <n v="1.8"/>
    <x v="0"/>
    <n v="0"/>
  </r>
  <r>
    <x v="39"/>
    <s v="17/20"/>
    <n v="1.85"/>
    <x v="0"/>
    <n v="0"/>
  </r>
  <r>
    <x v="40"/>
    <s v="13/8"/>
    <n v="2.625"/>
    <x v="0"/>
    <n v="0"/>
  </r>
  <r>
    <x v="22"/>
    <s v="8/13"/>
    <n v="1.6153846153846154"/>
    <x v="0"/>
    <n v="0"/>
  </r>
  <r>
    <x v="11"/>
    <s v="29/20"/>
    <n v="2.4500000000000002"/>
    <x v="0"/>
    <n v="0"/>
  </r>
  <r>
    <x v="41"/>
    <s v="3/10"/>
    <n v="1.3"/>
    <x v="1"/>
    <n v="1.3"/>
  </r>
  <r>
    <x v="42"/>
    <s v="23/20"/>
    <n v="2.15"/>
    <x v="1"/>
    <n v="2.15"/>
  </r>
  <r>
    <x v="43"/>
    <s v="1/2"/>
    <n v="1.5"/>
    <x v="0"/>
    <n v="0"/>
  </r>
  <r>
    <x v="41"/>
    <s v="3/10"/>
    <n v="1.3"/>
    <x v="1"/>
    <n v="1.3"/>
  </r>
  <r>
    <x v="6"/>
    <s v="4/5"/>
    <n v="1.8"/>
    <x v="0"/>
    <n v="0"/>
  </r>
  <r>
    <x v="44"/>
    <s v="10/11"/>
    <n v="1.9090909090909092"/>
    <x v="0"/>
    <n v="0"/>
  </r>
  <r>
    <x v="11"/>
    <s v="29/20"/>
    <n v="2.4500000000000002"/>
    <x v="0"/>
    <n v="0"/>
  </r>
  <r>
    <x v="34"/>
    <s v="8/11"/>
    <n v="1.7272727272727273"/>
    <x v="0"/>
    <n v="0"/>
  </r>
  <r>
    <x v="6"/>
    <s v="4/5"/>
    <n v="1.8"/>
    <x v="0"/>
    <n v="0"/>
  </r>
  <r>
    <x v="43"/>
    <s v="1/2"/>
    <n v="1.5"/>
    <x v="0"/>
    <n v="0"/>
  </r>
  <r>
    <x v="23"/>
    <s v="11/10"/>
    <n v="2.1"/>
    <x v="1"/>
    <n v="2.1"/>
  </r>
  <r>
    <x v="45"/>
    <s v="7/5"/>
    <n v="2.4"/>
    <x v="1"/>
    <n v="2.4"/>
  </r>
  <r>
    <x v="46"/>
    <s v="7/4"/>
    <n v="2.75"/>
    <x v="0"/>
    <n v="0"/>
  </r>
  <r>
    <x v="47"/>
    <s v="13/5"/>
    <n v="3.6"/>
    <x v="0"/>
    <n v="0"/>
  </r>
  <r>
    <x v="0"/>
    <s v="12/5"/>
    <n v="3.4"/>
    <x v="0"/>
    <n v="0"/>
  </r>
  <r>
    <x v="44"/>
    <s v="10/11"/>
    <n v="1.9090909090909092"/>
    <x v="0"/>
    <n v="0"/>
  </r>
  <r>
    <x v="11"/>
    <s v="29/20"/>
    <n v="2.4500000000000002"/>
    <x v="0"/>
    <n v="0"/>
  </r>
  <r>
    <x v="16"/>
    <s v="10/11"/>
    <n v="1.9090909090909092"/>
    <x v="1"/>
    <n v="1.9090909090909092"/>
  </r>
  <r>
    <x v="17"/>
    <s v="23/20"/>
    <n v="2.15"/>
    <x v="1"/>
    <n v="2.15"/>
  </r>
  <r>
    <x v="48"/>
    <s v="2/5"/>
    <n v="1.4"/>
    <x v="1"/>
    <n v="1.4"/>
  </r>
  <r>
    <x v="23"/>
    <s v="11/10"/>
    <n v="2.1"/>
    <x v="1"/>
    <n v="2.1"/>
  </r>
  <r>
    <x v="41"/>
    <s v="3/10"/>
    <n v="1.3"/>
    <x v="1"/>
    <n v="1.3"/>
  </r>
  <r>
    <x v="36"/>
    <s v="6/4"/>
    <n v="2.5"/>
    <x v="0"/>
    <n v="0"/>
  </r>
  <r>
    <x v="39"/>
    <s v="17/20"/>
    <n v="1.85"/>
    <x v="0"/>
    <n v="0"/>
  </r>
  <r>
    <x v="7"/>
    <s v="17/20"/>
    <n v="1.85"/>
    <x v="1"/>
    <n v="1.85"/>
  </r>
  <r>
    <x v="12"/>
    <s v="5/2"/>
    <n v="3.5"/>
    <x v="0"/>
    <n v="0"/>
  </r>
  <r>
    <x v="11"/>
    <s v="29/20"/>
    <n v="2.4500000000000002"/>
    <x v="0"/>
    <n v="0"/>
  </r>
  <r>
    <x v="18"/>
    <s v="4/9"/>
    <n v="1.4444444444444444"/>
    <x v="1"/>
    <n v="1.4444444444444444"/>
  </r>
  <r>
    <x v="49"/>
    <s v="29/20"/>
    <n v="2.4500000000000002"/>
    <x v="0"/>
    <n v="0"/>
  </r>
  <r>
    <x v="50"/>
    <s v="19/10"/>
    <n v="2.9"/>
    <x v="0"/>
    <n v="0"/>
  </r>
  <r>
    <x v="51"/>
    <s v="23/20"/>
    <n v="2.15"/>
    <x v="0"/>
    <n v="0"/>
  </r>
  <r>
    <x v="41"/>
    <s v="3/10"/>
    <n v="1.3"/>
    <x v="1"/>
    <n v="1.3"/>
  </r>
  <r>
    <x v="52"/>
    <s v="4/6"/>
    <n v="1.6666666666666665"/>
    <x v="1"/>
    <n v="1.6666666666666665"/>
  </r>
  <r>
    <x v="53"/>
    <s v="18/5"/>
    <n v="4.5999999999999996"/>
    <x v="0"/>
    <n v="0"/>
  </r>
  <r>
    <x v="54"/>
    <s v="3/1"/>
    <n v="4"/>
    <x v="0"/>
    <n v="0"/>
  </r>
  <r>
    <x v="12"/>
    <s v="5/2"/>
    <n v="3.5"/>
    <x v="0"/>
    <n v="0"/>
  </r>
  <r>
    <x v="20"/>
    <s v="11/5"/>
    <n v="3.2"/>
    <x v="1"/>
    <n v="3.2"/>
  </r>
  <r>
    <x v="16"/>
    <s v="10/11"/>
    <n v="1.9090909090909092"/>
    <x v="1"/>
    <n v="1.9090909090909092"/>
  </r>
  <r>
    <x v="18"/>
    <s v="4/9"/>
    <n v="1.4444444444444444"/>
    <x v="1"/>
    <n v="1.4444444444444444"/>
  </r>
  <r>
    <x v="22"/>
    <s v="8/13"/>
    <n v="1.6153846153846154"/>
    <x v="0"/>
    <n v="0"/>
  </r>
  <r>
    <x v="55"/>
    <s v="21/10"/>
    <n v="3.1"/>
    <x v="1"/>
    <n v="3.1"/>
  </r>
  <r>
    <x v="56"/>
    <s v="11/5"/>
    <n v="3.2"/>
    <x v="0"/>
    <n v="0"/>
  </r>
  <r>
    <x v="30"/>
    <s v="27/10"/>
    <n v="3.7"/>
    <x v="1"/>
    <n v="3.7"/>
  </r>
  <r>
    <x v="57"/>
    <e v="#N/A"/>
    <e v="#N/A"/>
    <x v="2"/>
    <e v="#N/A"/>
  </r>
  <r>
    <x v="57"/>
    <e v="#N/A"/>
    <e v="#N/A"/>
    <x v="2"/>
    <e v="#N/A"/>
  </r>
  <r>
    <x v="57"/>
    <e v="#N/A"/>
    <e v="#N/A"/>
    <x v="2"/>
    <e v="#N/A"/>
  </r>
  <r>
    <x v="8"/>
    <s v="4/6"/>
    <n v="1.6666666666666665"/>
    <x v="1"/>
    <n v="1.6666666666666665"/>
  </r>
  <r>
    <x v="58"/>
    <s v="8/13"/>
    <n v="1.6153846153846154"/>
    <x v="0"/>
    <n v="0"/>
  </r>
  <r>
    <x v="52"/>
    <s v="4/6"/>
    <n v="1.6666666666666665"/>
    <x v="1"/>
    <n v="1.6666666666666665"/>
  </r>
  <r>
    <x v="15"/>
    <s v="7/5"/>
    <n v="2.4"/>
    <x v="1"/>
    <n v="2.4"/>
  </r>
  <r>
    <x v="35"/>
    <s v="2/1"/>
    <n v="3"/>
    <x v="1"/>
    <n v="3"/>
  </r>
  <r>
    <x v="59"/>
    <s v="7/4"/>
    <n v="2.75"/>
    <x v="0"/>
    <n v="0"/>
  </r>
  <r>
    <x v="11"/>
    <s v="29/20"/>
    <n v="2.4500000000000002"/>
    <x v="0"/>
    <n v="0"/>
  </r>
  <r>
    <x v="17"/>
    <s v="23/20"/>
    <n v="2.15"/>
    <x v="1"/>
    <n v="2.15"/>
  </r>
  <r>
    <x v="12"/>
    <s v="5/2"/>
    <n v="3.5"/>
    <x v="0"/>
    <n v="0"/>
  </r>
  <r>
    <x v="15"/>
    <s v="7/5"/>
    <n v="2.4"/>
    <x v="1"/>
    <n v="2.4"/>
  </r>
  <r>
    <x v="11"/>
    <s v="29/20"/>
    <n v="2.4500000000000002"/>
    <x v="0"/>
    <n v="0"/>
  </r>
  <r>
    <x v="17"/>
    <s v="23/20"/>
    <n v="2.15"/>
    <x v="1"/>
    <n v="2.15"/>
  </r>
  <r>
    <x v="6"/>
    <s v="4/5"/>
    <n v="1.8"/>
    <x v="0"/>
    <n v="0"/>
  </r>
  <r>
    <x v="44"/>
    <s v="10/11"/>
    <n v="1.9090909090909092"/>
    <x v="0"/>
    <n v="0"/>
  </r>
  <r>
    <x v="23"/>
    <s v="11/10"/>
    <n v="2.1"/>
    <x v="1"/>
    <n v="2.1"/>
  </r>
  <r>
    <x v="18"/>
    <s v="4/9"/>
    <n v="1.4444444444444444"/>
    <x v="1"/>
    <n v="1.4444444444444444"/>
  </r>
  <r>
    <x v="60"/>
    <s v="6/4"/>
    <n v="2.5"/>
    <x v="1"/>
    <n v="2.5"/>
  </r>
  <r>
    <x v="34"/>
    <s v="8/11"/>
    <n v="1.7272727272727273"/>
    <x v="0"/>
    <n v="0"/>
  </r>
  <r>
    <x v="36"/>
    <s v="6/4"/>
    <n v="2.5"/>
    <x v="0"/>
    <n v="0"/>
  </r>
  <r>
    <x v="46"/>
    <s v="7/4"/>
    <n v="2.75"/>
    <x v="0"/>
    <n v="0"/>
  </r>
  <r>
    <x v="61"/>
    <s v="9/5"/>
    <n v="2.8"/>
    <x v="0"/>
    <n v="0"/>
  </r>
  <r>
    <x v="33"/>
    <s v="29/10"/>
    <n v="3.9"/>
    <x v="0"/>
    <n v="0"/>
  </r>
  <r>
    <x v="18"/>
    <s v="4/9"/>
    <n v="1.4444444444444444"/>
    <x v="1"/>
    <n v="1.4444444444444444"/>
  </r>
  <r>
    <x v="62"/>
    <s v="9/5"/>
    <n v="2.8"/>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8"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1"/>
        <item x="2"/>
        <item x="0"/>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2ED7EBB-FBE7-45FC-BC0E-802DAB05B105}" name="PivotTable4" cacheId="1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7" firstHeaderRow="1" firstDataRow="2" firstDataCol="1"/>
  <pivotFields count="5">
    <pivotField axis="axisRow" compact="0" outline="0" subtotalTop="0" multipleItemSelectionAllowed="1" showAll="0" defaultSubtotal="0">
      <items count="157">
        <item x="57"/>
        <item x="32"/>
        <item x="17"/>
        <item x="23"/>
        <item m="1" x="125"/>
        <item x="38"/>
        <item x="21"/>
        <item x="34"/>
        <item m="1" x="146"/>
        <item x="25"/>
        <item m="1" x="147"/>
        <item x="58"/>
        <item x="46"/>
        <item x="61"/>
        <item x="19"/>
        <item x="22"/>
        <item m="1" x="114"/>
        <item m="1" x="148"/>
        <item m="1" x="149"/>
        <item x="62"/>
        <item m="1" x="128"/>
        <item x="9"/>
        <item m="1" x="116"/>
        <item x="43"/>
        <item m="1" x="77"/>
        <item m="1" x="81"/>
        <item m="1" x="150"/>
        <item m="1" x="122"/>
        <item m="1" x="113"/>
        <item x="44"/>
        <item x="31"/>
        <item m="1" x="151"/>
        <item m="1" x="141"/>
        <item x="15"/>
        <item x="10"/>
        <item x="41"/>
        <item x="36"/>
        <item m="1" x="117"/>
        <item x="51"/>
        <item m="1" x="84"/>
        <item m="1" x="130"/>
        <item x="37"/>
        <item m="1" x="152"/>
        <item x="52"/>
        <item x="35"/>
        <item x="53"/>
        <item x="7"/>
        <item x="59"/>
        <item m="1" x="153"/>
        <item m="1" x="154"/>
        <item m="1" x="120"/>
        <item m="1" x="155"/>
        <item m="1" x="115"/>
        <item x="26"/>
        <item m="1" x="156"/>
        <item m="1" x="69"/>
        <item x="49"/>
        <item x="45"/>
        <item x="48"/>
        <item x="60"/>
        <item m="1" x="79"/>
        <item x="27"/>
        <item m="1" x="134"/>
        <item m="1" x="135"/>
        <item x="20"/>
        <item m="1" x="136"/>
        <item x="3"/>
        <item x="24"/>
        <item x="6"/>
        <item x="29"/>
        <item x="33"/>
        <item x="39"/>
        <item x="8"/>
        <item x="12"/>
        <item x="5"/>
        <item x="2"/>
        <item m="1" x="92"/>
        <item x="11"/>
        <item m="1" x="126"/>
        <item m="1" x="137"/>
        <item m="1" x="138"/>
        <item m="1" x="139"/>
        <item m="1" x="140"/>
        <item m="1" x="142"/>
        <item x="54"/>
        <item m="1" x="143"/>
        <item x="50"/>
        <item m="1" x="119"/>
        <item m="1" x="144"/>
        <item m="1" x="68"/>
        <item x="4"/>
        <item m="1" x="145"/>
        <item m="1" x="94"/>
        <item x="16"/>
        <item x="18"/>
        <item m="1" x="101"/>
        <item m="1" x="118"/>
        <item m="1" x="121"/>
        <item m="1" x="123"/>
        <item m="1" x="124"/>
        <item m="1" x="85"/>
        <item m="1" x="99"/>
        <item m="1" x="127"/>
        <item m="1" x="129"/>
        <item m="1" x="63"/>
        <item m="1" x="131"/>
        <item m="1" x="132"/>
        <item m="1" x="133"/>
        <item m="1" x="64"/>
        <item m="1" x="65"/>
        <item m="1" x="66"/>
        <item m="1" x="67"/>
        <item m="1" x="70"/>
        <item m="1" x="71"/>
        <item m="1" x="72"/>
        <item m="1" x="73"/>
        <item m="1" x="74"/>
        <item m="1" x="75"/>
        <item m="1" x="76"/>
        <item m="1" x="78"/>
        <item m="1" x="80"/>
        <item m="1" x="82"/>
        <item m="1" x="83"/>
        <item m="1" x="86"/>
        <item m="1" x="87"/>
        <item m="1" x="88"/>
        <item m="1" x="89"/>
        <item m="1" x="90"/>
        <item m="1" x="91"/>
        <item m="1" x="93"/>
        <item m="1" x="95"/>
        <item m="1" x="96"/>
        <item m="1" x="97"/>
        <item m="1" x="98"/>
        <item m="1" x="100"/>
        <item m="1" x="102"/>
        <item m="1" x="103"/>
        <item m="1" x="104"/>
        <item m="1" x="105"/>
        <item m="1" x="106"/>
        <item m="1" x="107"/>
        <item m="1" x="108"/>
        <item m="1" x="109"/>
        <item m="1" x="110"/>
        <item m="1" x="111"/>
        <item m="1" x="112"/>
        <item x="0"/>
        <item x="1"/>
        <item x="13"/>
        <item x="14"/>
        <item x="28"/>
        <item x="30"/>
        <item x="40"/>
        <item x="42"/>
        <item x="47"/>
        <item x="55"/>
        <item x="56"/>
      </items>
    </pivotField>
    <pivotField compact="0" outline="0" showAll="0" includeNewItemsInFilter="1"/>
    <pivotField compact="0" numFmtId="175" outline="0" showAll="0" includeNewItemsInFilter="1"/>
    <pivotField axis="axisCol" compact="0" outline="0" showAll="0" includeNewItemsInFilter="1">
      <items count="4">
        <item x="0"/>
        <item h="1" x="2"/>
        <item x="1"/>
        <item t="default"/>
      </items>
    </pivotField>
    <pivotField dataField="1" compact="0" numFmtId="2" outline="0" showAll="0" includeNewItemsInFilter="1"/>
  </pivotFields>
  <rowFields count="1">
    <field x="0"/>
  </rowFields>
  <rowItems count="63">
    <i>
      <x v="1"/>
    </i>
    <i>
      <x v="2"/>
    </i>
    <i>
      <x v="3"/>
    </i>
    <i>
      <x v="5"/>
    </i>
    <i>
      <x v="6"/>
    </i>
    <i>
      <x v="7"/>
    </i>
    <i>
      <x v="9"/>
    </i>
    <i>
      <x v="11"/>
    </i>
    <i>
      <x v="12"/>
    </i>
    <i>
      <x v="13"/>
    </i>
    <i>
      <x v="14"/>
    </i>
    <i>
      <x v="15"/>
    </i>
    <i>
      <x v="19"/>
    </i>
    <i>
      <x v="21"/>
    </i>
    <i>
      <x v="23"/>
    </i>
    <i>
      <x v="29"/>
    </i>
    <i>
      <x v="30"/>
    </i>
    <i>
      <x v="33"/>
    </i>
    <i>
      <x v="34"/>
    </i>
    <i>
      <x v="35"/>
    </i>
    <i>
      <x v="36"/>
    </i>
    <i>
      <x v="38"/>
    </i>
    <i>
      <x v="41"/>
    </i>
    <i>
      <x v="43"/>
    </i>
    <i>
      <x v="44"/>
    </i>
    <i>
      <x v="45"/>
    </i>
    <i>
      <x v="46"/>
    </i>
    <i>
      <x v="47"/>
    </i>
    <i>
      <x v="53"/>
    </i>
    <i>
      <x v="56"/>
    </i>
    <i>
      <x v="57"/>
    </i>
    <i>
      <x v="58"/>
    </i>
    <i>
      <x v="59"/>
    </i>
    <i>
      <x v="61"/>
    </i>
    <i>
      <x v="64"/>
    </i>
    <i>
      <x v="66"/>
    </i>
    <i>
      <x v="67"/>
    </i>
    <i>
      <x v="68"/>
    </i>
    <i>
      <x v="69"/>
    </i>
    <i>
      <x v="70"/>
    </i>
    <i>
      <x v="71"/>
    </i>
    <i>
      <x v="72"/>
    </i>
    <i>
      <x v="73"/>
    </i>
    <i>
      <x v="74"/>
    </i>
    <i>
      <x v="75"/>
    </i>
    <i>
      <x v="77"/>
    </i>
    <i>
      <x v="84"/>
    </i>
    <i>
      <x v="86"/>
    </i>
    <i>
      <x v="90"/>
    </i>
    <i>
      <x v="93"/>
    </i>
    <i>
      <x v="94"/>
    </i>
    <i>
      <x v="146"/>
    </i>
    <i>
      <x v="147"/>
    </i>
    <i>
      <x v="148"/>
    </i>
    <i>
      <x v="149"/>
    </i>
    <i>
      <x v="150"/>
    </i>
    <i>
      <x v="151"/>
    </i>
    <i>
      <x v="152"/>
    </i>
    <i>
      <x v="153"/>
    </i>
    <i>
      <x v="154"/>
    </i>
    <i>
      <x v="155"/>
    </i>
    <i>
      <x v="156"/>
    </i>
    <i t="grand">
      <x/>
    </i>
  </rowItems>
  <colFields count="1">
    <field x="3"/>
  </colFields>
  <colItems count="3">
    <i>
      <x/>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52" t="s">
        <v>334</v>
      </c>
      <c r="C1" s="103"/>
      <c r="D1" s="103"/>
      <c r="E1" s="103"/>
      <c r="F1" s="103"/>
      <c r="G1" s="103"/>
      <c r="H1" s="103"/>
      <c r="I1" s="103"/>
    </row>
    <row r="2" spans="1:9" ht="35.1" customHeight="1">
      <c r="A2" s="103"/>
      <c r="B2" s="345" t="s">
        <v>325</v>
      </c>
      <c r="C2" s="346" t="s">
        <v>324</v>
      </c>
      <c r="D2" s="346" t="s">
        <v>326</v>
      </c>
      <c r="E2" s="347" t="s">
        <v>327</v>
      </c>
      <c r="F2" s="103"/>
      <c r="G2" s="103"/>
      <c r="H2" s="103"/>
      <c r="I2" s="103"/>
    </row>
    <row r="3" spans="1:9" ht="35.1" customHeight="1">
      <c r="A3" s="103"/>
      <c r="B3" s="344" t="s">
        <v>308</v>
      </c>
      <c r="C3" s="344" t="s">
        <v>321</v>
      </c>
      <c r="D3" s="344" t="s">
        <v>314</v>
      </c>
      <c r="E3" s="344" t="s">
        <v>329</v>
      </c>
      <c r="F3" s="103"/>
      <c r="G3" s="103"/>
      <c r="H3" s="103"/>
      <c r="I3" s="103"/>
    </row>
    <row r="4" spans="1:9" ht="35.1" customHeight="1">
      <c r="A4" s="103"/>
      <c r="B4" s="344" t="s">
        <v>309</v>
      </c>
      <c r="C4" s="344" t="s">
        <v>318</v>
      </c>
      <c r="D4" s="344" t="s">
        <v>315</v>
      </c>
      <c r="E4" s="344" t="s">
        <v>131</v>
      </c>
      <c r="F4" s="103"/>
      <c r="G4" s="103"/>
      <c r="H4" s="103"/>
      <c r="I4" s="103"/>
    </row>
    <row r="5" spans="1:9" ht="35.1" customHeight="1">
      <c r="A5" s="103"/>
      <c r="B5" s="344" t="s">
        <v>310</v>
      </c>
      <c r="C5" s="344" t="s">
        <v>319</v>
      </c>
      <c r="D5" s="344" t="s">
        <v>316</v>
      </c>
      <c r="E5" s="344" t="s">
        <v>330</v>
      </c>
      <c r="F5" s="103"/>
      <c r="G5" s="103"/>
      <c r="H5" s="103"/>
      <c r="I5" s="103"/>
    </row>
    <row r="6" spans="1:9" ht="35.1" customHeight="1">
      <c r="A6" s="103"/>
      <c r="B6" s="344" t="s">
        <v>311</v>
      </c>
      <c r="C6" s="344" t="s">
        <v>317</v>
      </c>
      <c r="D6" s="344" t="s">
        <v>322</v>
      </c>
      <c r="E6" s="344" t="s">
        <v>331</v>
      </c>
      <c r="F6" s="103"/>
      <c r="G6" s="103"/>
      <c r="H6" s="103"/>
      <c r="I6" s="103"/>
    </row>
    <row r="7" spans="1:9" ht="35.1" customHeight="1">
      <c r="A7" s="103"/>
      <c r="B7" s="344" t="s">
        <v>312</v>
      </c>
      <c r="C7" s="344" t="s">
        <v>320</v>
      </c>
      <c r="D7" s="344" t="s">
        <v>323</v>
      </c>
      <c r="E7" s="344" t="s">
        <v>332</v>
      </c>
      <c r="F7" s="103"/>
      <c r="G7" s="103"/>
      <c r="H7" s="103"/>
      <c r="I7" s="103"/>
    </row>
    <row r="8" spans="1:9" ht="35.1" customHeight="1">
      <c r="A8" s="103"/>
      <c r="B8" s="344" t="s">
        <v>313</v>
      </c>
      <c r="C8" s="344"/>
      <c r="D8" s="344" t="s">
        <v>328</v>
      </c>
      <c r="E8" s="344" t="s">
        <v>336</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3" activePane="bottomLeft" state="frozen"/>
      <selection pane="bottomLeft" activeCell="D48" sqref="D48"/>
    </sheetView>
  </sheetViews>
  <sheetFormatPr defaultRowHeight="12.75"/>
  <cols>
    <col min="1" max="1" width="10.265625" style="342" customWidth="1"/>
    <col min="2" max="2" width="9.1328125" style="4" customWidth="1"/>
    <col min="3" max="3" width="27.1328125" style="4" customWidth="1"/>
    <col min="4" max="5" width="10.1328125" style="127" customWidth="1"/>
    <col min="6" max="6" width="32.73046875" customWidth="1"/>
    <col min="7" max="7" width="13.1328125" bestFit="1" customWidth="1"/>
    <col min="8" max="8" width="15.3984375" bestFit="1" customWidth="1"/>
  </cols>
  <sheetData>
    <row r="1" spans="1:8" ht="45.6" customHeight="1">
      <c r="A1" s="471" t="s">
        <v>420</v>
      </c>
      <c r="B1" s="388" t="s">
        <v>416</v>
      </c>
      <c r="C1" s="388" t="s">
        <v>422</v>
      </c>
      <c r="D1" s="388" t="s">
        <v>219</v>
      </c>
      <c r="E1" s="388" t="s">
        <v>424</v>
      </c>
    </row>
    <row r="2" spans="1:8">
      <c r="A2" s="387"/>
      <c r="B2" s="386"/>
      <c r="C2" s="387" t="s">
        <v>485</v>
      </c>
      <c r="D2" s="385" t="s">
        <v>224</v>
      </c>
      <c r="E2" s="385"/>
      <c r="G2" s="439" t="s">
        <v>418</v>
      </c>
      <c r="H2" t="s">
        <v>423</v>
      </c>
    </row>
    <row r="3" spans="1:8">
      <c r="A3" s="387"/>
      <c r="B3" s="386"/>
      <c r="C3" s="387" t="s">
        <v>284</v>
      </c>
      <c r="D3" s="385" t="s">
        <v>224</v>
      </c>
      <c r="E3" s="385"/>
      <c r="G3" s="4" t="s">
        <v>223</v>
      </c>
      <c r="H3">
        <v>16</v>
      </c>
    </row>
    <row r="4" spans="1:8">
      <c r="A4" s="387"/>
      <c r="B4" s="386"/>
      <c r="C4" s="387" t="s">
        <v>417</v>
      </c>
      <c r="D4" s="385" t="s">
        <v>223</v>
      </c>
      <c r="E4" s="385"/>
      <c r="G4" s="4" t="s">
        <v>224</v>
      </c>
      <c r="H4">
        <v>16</v>
      </c>
    </row>
    <row r="5" spans="1:8">
      <c r="A5" s="387"/>
      <c r="B5" s="386"/>
      <c r="C5" s="387" t="s">
        <v>502</v>
      </c>
      <c r="D5" s="385" t="s">
        <v>225</v>
      </c>
      <c r="E5" s="385"/>
      <c r="G5" s="4" t="s">
        <v>225</v>
      </c>
      <c r="H5">
        <v>18</v>
      </c>
    </row>
    <row r="6" spans="1:8">
      <c r="A6" s="387"/>
      <c r="B6" s="386"/>
      <c r="C6" s="387" t="s">
        <v>300</v>
      </c>
      <c r="D6" s="385" t="s">
        <v>224</v>
      </c>
      <c r="E6" s="385"/>
      <c r="G6" s="4" t="s">
        <v>406</v>
      </c>
    </row>
    <row r="7" spans="1:8">
      <c r="A7" s="387"/>
      <c r="B7" s="386"/>
      <c r="C7" s="387" t="s">
        <v>276</v>
      </c>
      <c r="D7" s="385" t="s">
        <v>225</v>
      </c>
      <c r="E7" s="385"/>
      <c r="G7" s="4" t="s">
        <v>141</v>
      </c>
      <c r="H7">
        <v>50</v>
      </c>
    </row>
    <row r="8" spans="1:8">
      <c r="A8" s="387"/>
      <c r="B8" s="386"/>
      <c r="C8" s="387" t="s">
        <v>270</v>
      </c>
      <c r="D8" s="385" t="s">
        <v>224</v>
      </c>
      <c r="E8" s="385"/>
    </row>
    <row r="9" spans="1:8">
      <c r="A9" s="387"/>
      <c r="B9" s="386"/>
      <c r="C9" s="387" t="s">
        <v>348</v>
      </c>
      <c r="D9" s="385" t="s">
        <v>224</v>
      </c>
      <c r="E9" s="385"/>
    </row>
    <row r="10" spans="1:8">
      <c r="A10" s="387"/>
      <c r="B10" s="386"/>
      <c r="C10" s="387" t="s">
        <v>486</v>
      </c>
      <c r="D10" s="385" t="s">
        <v>224</v>
      </c>
      <c r="E10" s="385"/>
    </row>
    <row r="11" spans="1:8">
      <c r="A11" s="387"/>
      <c r="B11" s="386"/>
      <c r="C11" s="387" t="s">
        <v>293</v>
      </c>
      <c r="D11" s="385" t="s">
        <v>225</v>
      </c>
      <c r="E11" s="385"/>
    </row>
    <row r="12" spans="1:8">
      <c r="A12" s="387"/>
      <c r="B12" s="386"/>
      <c r="C12" s="387" t="s">
        <v>297</v>
      </c>
      <c r="D12" s="385" t="s">
        <v>225</v>
      </c>
      <c r="E12" s="385"/>
    </row>
    <row r="13" spans="1:8">
      <c r="A13" s="387"/>
      <c r="B13" s="386"/>
      <c r="C13" s="387" t="s">
        <v>292</v>
      </c>
      <c r="D13" s="385" t="s">
        <v>223</v>
      </c>
      <c r="E13" s="385"/>
    </row>
    <row r="14" spans="1:8">
      <c r="A14" s="387"/>
      <c r="B14" s="386"/>
      <c r="C14" s="387" t="s">
        <v>298</v>
      </c>
      <c r="D14" s="385" t="s">
        <v>223</v>
      </c>
      <c r="E14" s="385"/>
    </row>
    <row r="15" spans="1:8">
      <c r="A15" s="387"/>
      <c r="B15" s="386"/>
      <c r="C15" s="387" t="s">
        <v>487</v>
      </c>
      <c r="D15" s="385" t="s">
        <v>223</v>
      </c>
      <c r="E15" s="385"/>
    </row>
    <row r="16" spans="1:8">
      <c r="A16" s="387"/>
      <c r="B16" s="386"/>
      <c r="C16" s="387" t="s">
        <v>353</v>
      </c>
      <c r="D16" s="385" t="s">
        <v>224</v>
      </c>
      <c r="E16" s="385"/>
    </row>
    <row r="17" spans="1:5">
      <c r="A17" s="387"/>
      <c r="B17" s="386"/>
      <c r="C17" s="387" t="s">
        <v>349</v>
      </c>
      <c r="D17" s="385" t="s">
        <v>225</v>
      </c>
      <c r="E17" s="385"/>
    </row>
    <row r="18" spans="1:5">
      <c r="A18" s="387"/>
      <c r="B18" s="386"/>
      <c r="C18" s="387" t="s">
        <v>488</v>
      </c>
      <c r="D18" s="385" t="s">
        <v>225</v>
      </c>
      <c r="E18" s="385"/>
    </row>
    <row r="19" spans="1:5">
      <c r="A19" s="387"/>
      <c r="B19" s="386"/>
      <c r="C19" s="387" t="s">
        <v>283</v>
      </c>
      <c r="D19" s="385" t="s">
        <v>223</v>
      </c>
      <c r="E19" s="385"/>
    </row>
    <row r="20" spans="1:5">
      <c r="A20" s="387"/>
      <c r="B20" s="386"/>
      <c r="C20" s="387" t="s">
        <v>350</v>
      </c>
      <c r="D20" s="385" t="s">
        <v>223</v>
      </c>
      <c r="E20" s="385"/>
    </row>
    <row r="21" spans="1:5">
      <c r="A21" s="387"/>
      <c r="B21" s="386"/>
      <c r="C21" s="387" t="s">
        <v>273</v>
      </c>
      <c r="D21" s="385" t="s">
        <v>224</v>
      </c>
      <c r="E21" s="385"/>
    </row>
    <row r="22" spans="1:5">
      <c r="A22" s="387"/>
      <c r="B22" s="386"/>
      <c r="C22" s="387" t="s">
        <v>287</v>
      </c>
      <c r="D22" s="385" t="s">
        <v>224</v>
      </c>
      <c r="E22" s="385"/>
    </row>
    <row r="23" spans="1:5">
      <c r="A23" s="387"/>
      <c r="B23" s="386"/>
      <c r="C23" s="387" t="s">
        <v>296</v>
      </c>
      <c r="D23" s="385" t="s">
        <v>225</v>
      </c>
      <c r="E23" s="385"/>
    </row>
    <row r="24" spans="1:5">
      <c r="A24" s="387"/>
      <c r="B24" s="386"/>
      <c r="C24" s="387" t="s">
        <v>494</v>
      </c>
      <c r="D24" s="385" t="s">
        <v>225</v>
      </c>
      <c r="E24" s="385"/>
    </row>
    <row r="25" spans="1:5">
      <c r="A25" s="387"/>
      <c r="B25" s="386"/>
      <c r="C25" s="387" t="s">
        <v>288</v>
      </c>
      <c r="D25" s="385" t="s">
        <v>224</v>
      </c>
      <c r="E25" s="385"/>
    </row>
    <row r="26" spans="1:5">
      <c r="A26" s="387"/>
      <c r="B26" s="386"/>
      <c r="C26" s="387" t="s">
        <v>278</v>
      </c>
      <c r="D26" s="385" t="s">
        <v>223</v>
      </c>
      <c r="E26" s="385"/>
    </row>
    <row r="27" spans="1:5">
      <c r="A27" s="387"/>
      <c r="B27" s="386"/>
      <c r="C27" s="387" t="s">
        <v>279</v>
      </c>
      <c r="D27" s="385" t="s">
        <v>223</v>
      </c>
      <c r="E27" s="385"/>
    </row>
    <row r="28" spans="1:5">
      <c r="A28" s="387"/>
      <c r="B28" s="386"/>
      <c r="C28" s="387" t="s">
        <v>275</v>
      </c>
      <c r="D28" s="385" t="s">
        <v>224</v>
      </c>
      <c r="E28" s="385"/>
    </row>
    <row r="29" spans="1:5">
      <c r="A29" s="387"/>
      <c r="B29" s="386"/>
      <c r="C29" s="387" t="s">
        <v>274</v>
      </c>
      <c r="D29" s="385" t="s">
        <v>224</v>
      </c>
      <c r="E29" s="385"/>
    </row>
    <row r="30" spans="1:5">
      <c r="A30" s="387"/>
      <c r="B30" s="386"/>
      <c r="C30" s="387" t="s">
        <v>352</v>
      </c>
      <c r="D30" s="385" t="s">
        <v>224</v>
      </c>
      <c r="E30" s="385"/>
    </row>
    <row r="31" spans="1:5">
      <c r="A31" s="387"/>
      <c r="B31" s="386"/>
      <c r="C31" s="387" t="s">
        <v>282</v>
      </c>
      <c r="D31" s="385" t="s">
        <v>223</v>
      </c>
      <c r="E31" s="385"/>
    </row>
    <row r="32" spans="1:5">
      <c r="A32" s="387"/>
      <c r="B32" s="386"/>
      <c r="C32" s="387" t="s">
        <v>351</v>
      </c>
      <c r="D32" s="385" t="s">
        <v>224</v>
      </c>
      <c r="E32" s="385"/>
    </row>
    <row r="33" spans="1:5">
      <c r="A33" s="387"/>
      <c r="B33" s="386"/>
      <c r="C33" s="387" t="s">
        <v>294</v>
      </c>
      <c r="D33" s="385" t="s">
        <v>223</v>
      </c>
      <c r="E33" s="385"/>
    </row>
    <row r="34" spans="1:5">
      <c r="A34" s="387"/>
      <c r="B34" s="386"/>
      <c r="C34" s="387" t="s">
        <v>277</v>
      </c>
      <c r="D34" s="385" t="s">
        <v>223</v>
      </c>
      <c r="E34" s="385"/>
    </row>
    <row r="35" spans="1:5">
      <c r="A35" s="387"/>
      <c r="B35" s="386"/>
      <c r="C35" s="387" t="s">
        <v>268</v>
      </c>
      <c r="D35" s="385" t="s">
        <v>223</v>
      </c>
      <c r="E35" s="385"/>
    </row>
    <row r="36" spans="1:5">
      <c r="A36" s="387"/>
      <c r="B36" s="386"/>
      <c r="C36" s="387" t="s">
        <v>286</v>
      </c>
      <c r="D36" s="385" t="s">
        <v>225</v>
      </c>
      <c r="E36" s="385"/>
    </row>
    <row r="37" spans="1:5">
      <c r="A37" s="387"/>
      <c r="B37" s="386"/>
      <c r="C37" s="387" t="s">
        <v>290</v>
      </c>
      <c r="D37" s="385" t="s">
        <v>225</v>
      </c>
      <c r="E37" s="385"/>
    </row>
    <row r="38" spans="1:5">
      <c r="A38" s="387"/>
      <c r="B38" s="386"/>
      <c r="C38" s="387" t="s">
        <v>299</v>
      </c>
      <c r="D38" s="385" t="s">
        <v>224</v>
      </c>
      <c r="E38" s="385"/>
    </row>
    <row r="39" spans="1:5">
      <c r="A39" s="387"/>
      <c r="B39" s="386"/>
      <c r="C39" s="387" t="s">
        <v>289</v>
      </c>
      <c r="D39" s="385" t="s">
        <v>223</v>
      </c>
      <c r="E39" s="385"/>
    </row>
    <row r="40" spans="1:5">
      <c r="A40" s="387"/>
      <c r="B40" s="386"/>
      <c r="C40" s="387" t="s">
        <v>291</v>
      </c>
      <c r="D40" s="385" t="s">
        <v>223</v>
      </c>
      <c r="E40" s="385"/>
    </row>
    <row r="41" spans="1:5">
      <c r="A41" s="387"/>
      <c r="B41" s="386"/>
      <c r="C41" s="387" t="s">
        <v>269</v>
      </c>
      <c r="D41" s="385" t="s">
        <v>223</v>
      </c>
      <c r="E41" s="385"/>
    </row>
    <row r="42" spans="1:5">
      <c r="A42" s="387"/>
      <c r="B42" s="386"/>
      <c r="C42" s="387" t="s">
        <v>271</v>
      </c>
      <c r="D42" s="385" t="s">
        <v>225</v>
      </c>
      <c r="E42" s="385"/>
    </row>
    <row r="43" spans="1:5">
      <c r="A43" s="387"/>
      <c r="B43" s="386"/>
      <c r="C43" s="387" t="s">
        <v>533</v>
      </c>
      <c r="D43" s="385" t="s">
        <v>224</v>
      </c>
      <c r="E43" s="385"/>
    </row>
    <row r="44" spans="1:5">
      <c r="A44" s="387"/>
      <c r="B44" s="386"/>
      <c r="C44" s="387" t="s">
        <v>306</v>
      </c>
      <c r="D44" s="385" t="s">
        <v>223</v>
      </c>
      <c r="E44" s="385"/>
    </row>
    <row r="45" spans="1:5">
      <c r="A45" s="387"/>
      <c r="B45" s="386"/>
      <c r="C45" s="387" t="s">
        <v>285</v>
      </c>
      <c r="D45" s="385" t="s">
        <v>225</v>
      </c>
      <c r="E45" s="385"/>
    </row>
    <row r="46" spans="1:5">
      <c r="A46" s="387"/>
      <c r="B46" s="386"/>
      <c r="C46" s="387" t="s">
        <v>574</v>
      </c>
      <c r="D46" s="385" t="s">
        <v>225</v>
      </c>
      <c r="E46" s="385"/>
    </row>
    <row r="47" spans="1:5">
      <c r="A47" s="387"/>
      <c r="B47" s="386"/>
      <c r="C47" s="387" t="s">
        <v>575</v>
      </c>
      <c r="D47" s="385" t="s">
        <v>225</v>
      </c>
      <c r="E47" s="385"/>
    </row>
    <row r="48" spans="1:5">
      <c r="A48" s="387"/>
      <c r="B48" s="386"/>
      <c r="C48" s="387"/>
      <c r="D48" s="385"/>
      <c r="E48" s="385"/>
    </row>
    <row r="49" spans="1:5">
      <c r="A49" s="387"/>
      <c r="B49" s="386"/>
      <c r="C49" s="387"/>
      <c r="D49" s="385"/>
      <c r="E49" s="385"/>
    </row>
    <row r="50" spans="1:5">
      <c r="A50" s="387"/>
      <c r="B50" s="386"/>
      <c r="C50" s="387"/>
      <c r="D50" s="385"/>
      <c r="E50" s="385"/>
    </row>
    <row r="51" spans="1:5">
      <c r="A51" s="387"/>
      <c r="B51" s="386"/>
      <c r="C51" s="387"/>
      <c r="D51" s="385"/>
      <c r="E51" s="385"/>
    </row>
    <row r="52" spans="1:5">
      <c r="A52" s="387"/>
      <c r="B52" s="386"/>
      <c r="C52" s="387"/>
      <c r="D52" s="385"/>
      <c r="E52" s="385"/>
    </row>
    <row r="53" spans="1:5">
      <c r="A53" s="387"/>
      <c r="B53" s="386"/>
      <c r="C53" s="387"/>
      <c r="D53" s="385"/>
      <c r="E53" s="385"/>
    </row>
    <row r="54" spans="1:5">
      <c r="A54" s="387"/>
      <c r="B54" s="386"/>
      <c r="C54" s="387"/>
      <c r="D54" s="385"/>
      <c r="E54" s="385"/>
    </row>
    <row r="55" spans="1:5">
      <c r="A55" s="387"/>
      <c r="B55" s="386"/>
      <c r="C55" s="387"/>
      <c r="D55" s="385"/>
      <c r="E55" s="385"/>
    </row>
    <row r="56" spans="1:5">
      <c r="A56" s="387"/>
      <c r="B56" s="386"/>
      <c r="C56" s="387"/>
      <c r="D56" s="385"/>
      <c r="E56" s="385"/>
    </row>
    <row r="57" spans="1:5">
      <c r="A57" s="387"/>
      <c r="B57" s="386"/>
      <c r="C57" s="387"/>
      <c r="D57" s="385"/>
      <c r="E57" s="385"/>
    </row>
    <row r="58" spans="1:5">
      <c r="A58" s="387"/>
      <c r="B58" s="386"/>
      <c r="C58" s="387"/>
      <c r="D58" s="385"/>
      <c r="E58" s="385"/>
    </row>
    <row r="59" spans="1:5">
      <c r="A59" s="387"/>
      <c r="B59" s="386"/>
      <c r="C59" s="387"/>
      <c r="D59" s="385"/>
      <c r="E59" s="385"/>
    </row>
    <row r="60" spans="1:5">
      <c r="A60" s="387"/>
      <c r="B60" s="386"/>
      <c r="C60" s="387"/>
      <c r="D60" s="385"/>
      <c r="E60" s="385"/>
    </row>
    <row r="61" spans="1:5">
      <c r="A61" s="387"/>
      <c r="B61" s="386"/>
      <c r="C61" s="387"/>
      <c r="D61" s="385"/>
      <c r="E61" s="385"/>
    </row>
    <row r="62" spans="1:5">
      <c r="A62" s="387"/>
      <c r="B62" s="386"/>
      <c r="C62" s="387"/>
      <c r="D62" s="385"/>
      <c r="E62" s="385"/>
    </row>
    <row r="63" spans="1:5">
      <c r="A63" s="387"/>
      <c r="B63" s="386"/>
      <c r="C63" s="387"/>
      <c r="D63" s="385"/>
      <c r="E63" s="385"/>
    </row>
    <row r="64" spans="1:5">
      <c r="A64" s="387"/>
      <c r="B64" s="386"/>
      <c r="C64" s="387"/>
      <c r="D64" s="385"/>
      <c r="E64" s="385"/>
    </row>
    <row r="65" spans="1:5">
      <c r="A65" s="387"/>
      <c r="B65" s="386"/>
      <c r="C65" s="387"/>
      <c r="D65" s="385"/>
      <c r="E65" s="385"/>
    </row>
    <row r="66" spans="1:5">
      <c r="A66" s="387"/>
      <c r="B66" s="386"/>
      <c r="C66" s="387"/>
      <c r="D66" s="385"/>
      <c r="E66" s="385"/>
    </row>
    <row r="67" spans="1:5">
      <c r="A67" s="387"/>
      <c r="B67" s="386"/>
      <c r="C67" s="387"/>
      <c r="D67" s="385"/>
      <c r="E67" s="385"/>
    </row>
    <row r="68" spans="1:5">
      <c r="A68" s="387"/>
      <c r="B68" s="386"/>
      <c r="C68" s="387"/>
      <c r="D68" s="385"/>
      <c r="E68" s="385"/>
    </row>
    <row r="69" spans="1:5">
      <c r="A69" s="387"/>
      <c r="B69" s="386"/>
      <c r="C69" s="387"/>
      <c r="D69" s="385"/>
      <c r="E69" s="385"/>
    </row>
    <row r="70" spans="1:5">
      <c r="A70" s="387"/>
      <c r="B70" s="386"/>
      <c r="C70" s="387"/>
      <c r="D70" s="385"/>
      <c r="E70" s="385"/>
    </row>
    <row r="71" spans="1:5">
      <c r="A71" s="387"/>
      <c r="B71" s="386"/>
      <c r="C71" s="387"/>
      <c r="D71" s="385"/>
      <c r="E71" s="385"/>
    </row>
    <row r="72" spans="1:5">
      <c r="A72" s="387"/>
      <c r="B72" s="386"/>
      <c r="C72" s="387"/>
      <c r="D72" s="385"/>
      <c r="E72" s="385"/>
    </row>
    <row r="73" spans="1:5">
      <c r="A73" s="387"/>
      <c r="B73" s="386"/>
      <c r="C73" s="387"/>
      <c r="D73" s="385"/>
      <c r="E73" s="385"/>
    </row>
    <row r="74" spans="1:5">
      <c r="A74" s="387"/>
      <c r="B74" s="386"/>
      <c r="C74" s="386"/>
      <c r="D74" s="385"/>
      <c r="E74" s="385"/>
    </row>
    <row r="75" spans="1:5">
      <c r="A75" s="387"/>
      <c r="B75" s="386"/>
      <c r="C75" s="386"/>
      <c r="D75" s="385"/>
      <c r="E75" s="385"/>
    </row>
    <row r="76" spans="1:5">
      <c r="A76" s="387"/>
      <c r="B76" s="386"/>
      <c r="C76" s="386"/>
      <c r="D76" s="385"/>
      <c r="E76" s="385"/>
    </row>
    <row r="77" spans="1:5">
      <c r="A77" s="387"/>
      <c r="B77" s="386"/>
      <c r="C77" s="386"/>
      <c r="D77" s="385"/>
      <c r="E77" s="385"/>
    </row>
    <row r="78" spans="1:5">
      <c r="A78" s="387"/>
      <c r="B78" s="386"/>
      <c r="C78" s="386"/>
      <c r="D78" s="385"/>
      <c r="E78" s="385"/>
    </row>
    <row r="79" spans="1:5">
      <c r="A79" s="387"/>
      <c r="B79" s="386"/>
      <c r="C79" s="386"/>
      <c r="D79" s="385"/>
      <c r="E79" s="385"/>
    </row>
    <row r="80" spans="1:5">
      <c r="A80" s="387"/>
      <c r="B80" s="386"/>
      <c r="C80" s="386"/>
      <c r="D80" s="385"/>
      <c r="E80" s="385"/>
    </row>
    <row r="81" spans="1:5">
      <c r="A81" s="387"/>
      <c r="B81" s="386"/>
      <c r="C81" s="386"/>
      <c r="D81" s="385"/>
      <c r="E81" s="385"/>
    </row>
    <row r="82" spans="1:5">
      <c r="A82" s="387"/>
      <c r="B82" s="386"/>
      <c r="C82" s="386"/>
      <c r="D82" s="385"/>
      <c r="E82" s="385"/>
    </row>
    <row r="83" spans="1:5">
      <c r="A83" s="387"/>
      <c r="B83" s="386"/>
      <c r="C83" s="386"/>
      <c r="D83" s="385"/>
      <c r="E83" s="385"/>
    </row>
    <row r="84" spans="1:5">
      <c r="A84" s="387"/>
      <c r="B84" s="386"/>
      <c r="C84" s="386"/>
      <c r="D84" s="385"/>
      <c r="E84" s="385"/>
    </row>
    <row r="85" spans="1:5">
      <c r="A85" s="387"/>
      <c r="B85" s="386"/>
      <c r="C85" s="386"/>
      <c r="D85" s="385"/>
      <c r="E85" s="385"/>
    </row>
    <row r="86" spans="1:5">
      <c r="A86" s="387"/>
      <c r="B86" s="386"/>
      <c r="C86" s="386"/>
      <c r="D86" s="385"/>
      <c r="E86" s="385"/>
    </row>
    <row r="87" spans="1:5">
      <c r="A87" s="387"/>
      <c r="B87" s="386"/>
      <c r="C87" s="386"/>
      <c r="D87" s="385"/>
      <c r="E87" s="385"/>
    </row>
    <row r="88" spans="1:5">
      <c r="A88" s="387"/>
      <c r="B88" s="386"/>
      <c r="C88" s="386"/>
      <c r="D88" s="385"/>
      <c r="E88" s="385"/>
    </row>
    <row r="89" spans="1:5">
      <c r="A89" s="387"/>
      <c r="B89" s="386"/>
      <c r="C89" s="386"/>
      <c r="D89" s="385"/>
      <c r="E89" s="385"/>
    </row>
    <row r="90" spans="1:5">
      <c r="A90" s="387"/>
      <c r="B90" s="386"/>
      <c r="C90" s="386"/>
      <c r="D90" s="385"/>
      <c r="E90" s="385"/>
    </row>
    <row r="91" spans="1:5">
      <c r="A91" s="387"/>
      <c r="B91" s="386"/>
      <c r="C91" s="386"/>
      <c r="D91" s="385"/>
      <c r="E91" s="385"/>
    </row>
    <row r="92" spans="1:5">
      <c r="A92" s="387"/>
      <c r="B92" s="386"/>
      <c r="C92" s="386"/>
      <c r="D92" s="385"/>
      <c r="E92" s="385"/>
    </row>
    <row r="93" spans="1:5">
      <c r="A93" s="387"/>
      <c r="B93" s="386"/>
      <c r="C93" s="386"/>
      <c r="D93" s="385"/>
      <c r="E93" s="385"/>
    </row>
    <row r="94" spans="1:5">
      <c r="A94" s="387"/>
      <c r="B94" s="386"/>
      <c r="C94" s="386"/>
      <c r="D94" s="385"/>
      <c r="E94" s="385"/>
    </row>
    <row r="95" spans="1:5">
      <c r="A95" s="387"/>
      <c r="B95" s="386"/>
      <c r="C95" s="386"/>
      <c r="D95" s="385"/>
      <c r="E95" s="385"/>
    </row>
    <row r="96" spans="1:5">
      <c r="A96" s="387"/>
      <c r="B96" s="386"/>
      <c r="C96" s="386"/>
      <c r="D96" s="385"/>
      <c r="E96" s="385"/>
    </row>
    <row r="97" spans="1:5">
      <c r="A97" s="387"/>
      <c r="B97" s="386"/>
      <c r="C97" s="386"/>
      <c r="D97" s="385"/>
      <c r="E97" s="385"/>
    </row>
    <row r="98" spans="1:5">
      <c r="A98" s="387"/>
      <c r="B98" s="386"/>
      <c r="C98" s="386"/>
      <c r="D98" s="385"/>
      <c r="E98" s="385"/>
    </row>
    <row r="99" spans="1:5">
      <c r="A99" s="387"/>
      <c r="B99" s="386"/>
      <c r="C99" s="386"/>
      <c r="D99" s="385"/>
      <c r="E99" s="385"/>
    </row>
    <row r="100" spans="1:5">
      <c r="A100" s="387"/>
      <c r="B100" s="386"/>
      <c r="C100" s="386"/>
      <c r="D100" s="385"/>
      <c r="E100" s="385"/>
    </row>
    <row r="101" spans="1:5">
      <c r="A101" s="341"/>
      <c r="B101" s="77"/>
      <c r="C101" s="77"/>
      <c r="D101" s="220"/>
      <c r="E101" s="220"/>
    </row>
    <row r="102" spans="1:5">
      <c r="A102" s="341"/>
      <c r="B102" s="77"/>
      <c r="C102" s="77"/>
      <c r="D102" s="220"/>
      <c r="E102" s="220"/>
    </row>
    <row r="103" spans="1:5">
      <c r="A103" s="341"/>
      <c r="B103" s="77"/>
      <c r="C103" s="77"/>
      <c r="D103" s="220"/>
      <c r="E103" s="220"/>
    </row>
    <row r="104" spans="1:5">
      <c r="A104" s="341"/>
      <c r="B104" s="77"/>
      <c r="C104" s="77"/>
      <c r="D104" s="220"/>
      <c r="E104" s="220"/>
    </row>
    <row r="105" spans="1:5">
      <c r="A105" s="341"/>
      <c r="B105" s="77"/>
      <c r="C105" s="77"/>
      <c r="D105" s="220"/>
      <c r="E105" s="220"/>
    </row>
    <row r="106" spans="1:5">
      <c r="A106" s="341"/>
      <c r="B106" s="77"/>
      <c r="C106" s="77"/>
      <c r="D106" s="220"/>
      <c r="E106" s="220"/>
    </row>
    <row r="107" spans="1:5">
      <c r="A107" s="341"/>
      <c r="B107" s="77"/>
      <c r="C107" s="77"/>
      <c r="D107" s="220"/>
      <c r="E107" s="220"/>
    </row>
    <row r="108" spans="1:5">
      <c r="A108" s="341"/>
      <c r="B108" s="77"/>
      <c r="C108" s="77"/>
      <c r="D108" s="220"/>
      <c r="E108" s="220"/>
    </row>
    <row r="109" spans="1:5">
      <c r="A109" s="341"/>
      <c r="B109" s="77"/>
      <c r="C109" s="77"/>
      <c r="D109" s="220"/>
      <c r="E109" s="220"/>
    </row>
    <row r="110" spans="1:5">
      <c r="A110" s="341"/>
      <c r="B110" s="77"/>
      <c r="C110" s="77"/>
      <c r="D110" s="220"/>
      <c r="E110" s="220"/>
    </row>
    <row r="111" spans="1:5">
      <c r="A111" s="341"/>
      <c r="B111" s="77"/>
      <c r="C111" s="77"/>
      <c r="D111" s="220"/>
      <c r="E111" s="22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C2:D45">
    <sortCondition ref="C2:C45"/>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3.86328125" hidden="1" customWidth="1"/>
    <col min="3" max="3" width="11.1328125" customWidth="1"/>
    <col min="4" max="4" width="5.265625" customWidth="1"/>
    <col min="5" max="5" width="8.73046875" style="8" hidden="1" customWidth="1"/>
    <col min="6" max="6" width="26.1328125" style="4" customWidth="1"/>
    <col min="7" max="7" width="11.86328125" style="20" hidden="1" customWidth="1"/>
    <col min="8" max="8" width="7.86328125" style="8" hidden="1" customWidth="1"/>
    <col min="9" max="9" width="8.59765625" style="188" customWidth="1"/>
    <col min="10" max="10" width="8" style="274" customWidth="1"/>
    <col min="11" max="11" width="8.86328125" style="188" customWidth="1"/>
    <col min="12" max="12" width="9.1328125" style="274" customWidth="1"/>
    <col min="13" max="13" width="10.73046875" customWidth="1"/>
    <col min="14" max="14" width="10.73046875" style="19" customWidth="1"/>
    <col min="15" max="16" width="10.73046875" customWidth="1"/>
    <col min="17" max="17" width="8.59765625" style="1" customWidth="1"/>
    <col min="18" max="18" width="4.59765625" customWidth="1"/>
    <col min="19" max="19" width="41.73046875" customWidth="1"/>
  </cols>
  <sheetData>
    <row r="1" spans="1:26" ht="42.75" customHeight="1" thickBot="1">
      <c r="A1" s="517" t="str">
        <f>CONCATENATE(CurrentSeason,"/Week ",CurrentWeek)</f>
        <v>PL46/Week 05</v>
      </c>
      <c r="B1" s="56" t="s">
        <v>227</v>
      </c>
      <c r="C1" s="250" t="s">
        <v>421</v>
      </c>
      <c r="D1" s="56" t="s">
        <v>214</v>
      </c>
      <c r="E1" s="56" t="s">
        <v>219</v>
      </c>
      <c r="F1" s="222" t="s">
        <v>16</v>
      </c>
      <c r="G1" s="535" t="s">
        <v>255</v>
      </c>
      <c r="H1" s="56" t="s">
        <v>465</v>
      </c>
      <c r="I1" s="268" t="s">
        <v>124</v>
      </c>
      <c r="J1" s="270" t="s">
        <v>125</v>
      </c>
      <c r="K1" s="269" t="s">
        <v>126</v>
      </c>
      <c r="L1" s="275" t="s">
        <v>127</v>
      </c>
      <c r="M1" s="251" t="s">
        <v>301</v>
      </c>
      <c r="N1" s="251" t="s">
        <v>222</v>
      </c>
      <c r="O1" s="251" t="s">
        <v>164</v>
      </c>
      <c r="P1" s="577" t="s">
        <v>228</v>
      </c>
      <c r="Q1" s="622" t="s">
        <v>531</v>
      </c>
      <c r="R1" s="620">
        <f>COUNTIF(Q:Q,"N")</f>
        <v>0</v>
      </c>
      <c r="S1" s="76"/>
      <c r="T1" s="76"/>
      <c r="U1" s="76"/>
      <c r="V1" s="76"/>
      <c r="W1" s="76"/>
      <c r="X1" s="76"/>
      <c r="Y1" s="76"/>
    </row>
    <row r="2" spans="1:26" ht="14.1" customHeight="1">
      <c r="A2" s="679" t="s">
        <v>215</v>
      </c>
      <c r="B2" s="239" t="str">
        <f t="shared" ref="B2:B33" si="0">CONCATENATE(E2,D2)</f>
        <v>A1</v>
      </c>
      <c r="C2" s="576" t="s">
        <v>493</v>
      </c>
      <c r="D2" s="239">
        <v>1</v>
      </c>
      <c r="E2" s="530" t="s">
        <v>223</v>
      </c>
      <c r="F2" s="283" t="s">
        <v>291</v>
      </c>
      <c r="G2" s="534"/>
      <c r="H2" s="530" t="s">
        <v>223</v>
      </c>
      <c r="I2" s="284">
        <f>INDEX(Weekly!F:F,MATCH($F2,Weekly!$E:$E,0))</f>
        <v>27.800000000000004</v>
      </c>
      <c r="J2" s="285">
        <f>INDEX(Weekly!G:G,MATCH($F2,Weekly!$E:$E,0))</f>
        <v>7</v>
      </c>
      <c r="K2" s="286">
        <f>INDEX(Weekly!H:H,MATCH($F2,Weekly!$E:$E,0))</f>
        <v>5.6</v>
      </c>
      <c r="L2" s="287">
        <f>INDEX(Weekly!I:I,MATCH($F2,Weekly!$E:$E,0))</f>
        <v>2</v>
      </c>
      <c r="M2" s="288">
        <f>INDEX(Prizes!F:F,MATCH($B2,Prizes!A:A,0))</f>
        <v>64.75</v>
      </c>
      <c r="N2" s="254">
        <f>INDEX(Weekly!J:J,MATCH($F2,Weekly!$E:$E,0))</f>
        <v>10</v>
      </c>
      <c r="O2" s="288">
        <f>INDEX(Weekly!K:K,MATCH($F2,Weekly!$E:$E,0))</f>
        <v>0</v>
      </c>
      <c r="P2" s="578">
        <f>INDEX(Weekly!M:M,MATCH($F2,Weekly!$E:$E,0))</f>
        <v>74.75</v>
      </c>
      <c r="Q2" s="621"/>
      <c r="R2" s="76"/>
      <c r="S2" s="76"/>
      <c r="T2" s="76"/>
      <c r="U2" s="76"/>
      <c r="V2" s="76"/>
      <c r="W2" s="76"/>
      <c r="X2" s="76"/>
      <c r="Y2" s="76"/>
      <c r="Z2" s="76"/>
    </row>
    <row r="3" spans="1:26" ht="14.1" customHeight="1">
      <c r="A3" s="680"/>
      <c r="B3" s="1" t="str">
        <f t="shared" si="0"/>
        <v>A2</v>
      </c>
      <c r="C3" s="257" t="s">
        <v>493</v>
      </c>
      <c r="D3" s="1">
        <v>2</v>
      </c>
      <c r="E3" s="10" t="s">
        <v>223</v>
      </c>
      <c r="F3" s="4" t="s">
        <v>278</v>
      </c>
      <c r="G3" s="535"/>
      <c r="H3" s="10" t="s">
        <v>223</v>
      </c>
      <c r="I3" s="247">
        <f>INDEX(Weekly!F:F,MATCH($F3,Weekly!$E:$E,0))</f>
        <v>-4.1271428571428581</v>
      </c>
      <c r="J3" s="271">
        <f>INDEX(Weekly!G:G,MATCH($F3,Weekly!$E:$E,0))</f>
        <v>9</v>
      </c>
      <c r="K3" s="127">
        <f>INDEX(Weekly!H:H,MATCH($F3,Weekly!$E:$E,0))</f>
        <v>-7</v>
      </c>
      <c r="L3" s="276">
        <f>INDEX(Weekly!I:I,MATCH($F3,Weekly!$E:$E,0))</f>
        <v>0</v>
      </c>
      <c r="M3" s="252">
        <f>INDEX(Prizes!F:F,MATCH($B3,Prizes!A:A,0))</f>
        <v>46.25</v>
      </c>
      <c r="N3" s="426">
        <f>INDEX(Weekly!J:J,MATCH($F3,Weekly!$E:$E,0))</f>
        <v>5</v>
      </c>
      <c r="O3" s="252">
        <f>INDEX(Weekly!K:K,MATCH($F3,Weekly!$E:$E,0))</f>
        <v>0</v>
      </c>
      <c r="P3" s="579">
        <f>INDEX(Weekly!M:M,MATCH($F3,Weekly!$E:$E,0))</f>
        <v>51.25</v>
      </c>
      <c r="Q3" s="621"/>
      <c r="R3" s="76"/>
      <c r="S3" s="76"/>
      <c r="T3" s="76"/>
      <c r="U3" s="76"/>
      <c r="V3" s="76"/>
      <c r="W3" s="76"/>
      <c r="X3" s="76"/>
      <c r="Y3" s="76"/>
      <c r="Z3" s="76"/>
    </row>
    <row r="4" spans="1:26" ht="14.1" customHeight="1">
      <c r="A4" s="680"/>
      <c r="B4" s="1" t="str">
        <f t="shared" si="0"/>
        <v>A3</v>
      </c>
      <c r="C4" s="257" t="s">
        <v>493</v>
      </c>
      <c r="D4" s="1">
        <v>3</v>
      </c>
      <c r="E4" s="10" t="s">
        <v>223</v>
      </c>
      <c r="F4" s="4" t="s">
        <v>277</v>
      </c>
      <c r="G4" s="535"/>
      <c r="H4" s="10" t="s">
        <v>223</v>
      </c>
      <c r="I4" s="247">
        <f>INDEX(Weekly!F:F,MATCH($F4,Weekly!$E:$E,0))</f>
        <v>-5.0166666666666648</v>
      </c>
      <c r="J4" s="271">
        <f>INDEX(Weekly!G:G,MATCH($F4,Weekly!$E:$E,0))</f>
        <v>5</v>
      </c>
      <c r="K4" s="127">
        <f>INDEX(Weekly!H:H,MATCH($F4,Weekly!$E:$E,0))</f>
        <v>-1.8666666666666671</v>
      </c>
      <c r="L4" s="276">
        <f>INDEX(Weekly!I:I,MATCH($F4,Weekly!$E:$E,0))</f>
        <v>2</v>
      </c>
      <c r="M4" s="252">
        <f>INDEX(Prizes!F:F,MATCH($B4,Prizes!A:A,0))</f>
        <v>33.299999999999997</v>
      </c>
      <c r="N4" s="426">
        <f>INDEX(Weekly!J:J,MATCH($F4,Weekly!$E:$E,0))</f>
        <v>10</v>
      </c>
      <c r="O4" s="252">
        <f>INDEX(Weekly!K:K,MATCH($F4,Weekly!$E:$E,0))</f>
        <v>0</v>
      </c>
      <c r="P4" s="579">
        <f>INDEX(Weekly!M:M,MATCH($F4,Weekly!$E:$E,0))</f>
        <v>43.3</v>
      </c>
      <c r="Q4" s="621"/>
      <c r="R4" s="267"/>
      <c r="S4" s="89" t="s">
        <v>257</v>
      </c>
      <c r="T4" s="76"/>
      <c r="U4" s="76"/>
      <c r="V4" s="76"/>
      <c r="W4" s="76"/>
      <c r="X4" s="76"/>
      <c r="Y4" s="76"/>
      <c r="Z4" s="76"/>
    </row>
    <row r="5" spans="1:26" ht="14.1" customHeight="1">
      <c r="A5" s="680"/>
      <c r="B5" s="1" t="str">
        <f t="shared" si="0"/>
        <v>A4</v>
      </c>
      <c r="C5" s="257" t="s">
        <v>493</v>
      </c>
      <c r="D5" s="10">
        <v>4</v>
      </c>
      <c r="E5" s="10" t="s">
        <v>223</v>
      </c>
      <c r="F5" s="4" t="s">
        <v>417</v>
      </c>
      <c r="G5" s="535"/>
      <c r="H5" s="10" t="s">
        <v>223</v>
      </c>
      <c r="I5" s="247">
        <f>INDEX(Weekly!F:F,MATCH($F5,Weekly!$E:$E,0))</f>
        <v>-6.2275000000000027</v>
      </c>
      <c r="J5" s="271">
        <f>INDEX(Weekly!G:G,MATCH($F5,Weekly!$E:$E,0))</f>
        <v>8</v>
      </c>
      <c r="K5" s="127">
        <f>INDEX(Weekly!H:H,MATCH($F5,Weekly!$E:$E,0))</f>
        <v>-0.40000000000000036</v>
      </c>
      <c r="L5" s="276">
        <f>INDEX(Weekly!I:I,MATCH($F5,Weekly!$E:$E,0))</f>
        <v>2</v>
      </c>
      <c r="M5" s="252">
        <f>INDEX(Prizes!F:F,MATCH($B5,Prizes!A:A,0))</f>
        <v>22.2</v>
      </c>
      <c r="N5" s="426">
        <f>INDEX(Weekly!J:J,MATCH($F5,Weekly!$E:$E,0))</f>
        <v>0</v>
      </c>
      <c r="O5" s="252">
        <f>INDEX(Weekly!K:K,MATCH($F5,Weekly!$E:$E,0))</f>
        <v>0</v>
      </c>
      <c r="P5" s="579">
        <f>INDEX(Weekly!M:M,MATCH($F5,Weekly!$E:$E,0))</f>
        <v>22.2</v>
      </c>
      <c r="Q5" s="621"/>
      <c r="R5" s="261"/>
      <c r="S5" s="69" t="s">
        <v>258</v>
      </c>
      <c r="T5" s="76"/>
      <c r="U5" s="76"/>
      <c r="V5" s="76"/>
      <c r="W5" s="76"/>
      <c r="X5" s="76"/>
      <c r="Y5" s="76"/>
      <c r="Z5" s="76"/>
    </row>
    <row r="6" spans="1:26" ht="14.1" customHeight="1">
      <c r="A6" s="680"/>
      <c r="B6" s="10" t="str">
        <f t="shared" si="0"/>
        <v>A5</v>
      </c>
      <c r="C6" s="258" t="s">
        <v>493</v>
      </c>
      <c r="D6" s="1">
        <v>5</v>
      </c>
      <c r="E6" s="10" t="s">
        <v>223</v>
      </c>
      <c r="F6" s="4" t="s">
        <v>350</v>
      </c>
      <c r="G6" s="735"/>
      <c r="H6" s="10" t="s">
        <v>223</v>
      </c>
      <c r="I6" s="247">
        <f>INDEX(Weekly!F:F,MATCH($F6,Weekly!$E:$E,0))</f>
        <v>-8.2399999999999967</v>
      </c>
      <c r="J6" s="271">
        <f>INDEX(Weekly!G:G,MATCH($F6,Weekly!$E:$E,0))</f>
        <v>5</v>
      </c>
      <c r="K6" s="127">
        <f>INDEX(Weekly!H:H,MATCH($F6,Weekly!$E:$E,0))</f>
        <v>7.120000000000001</v>
      </c>
      <c r="L6" s="276">
        <f>INDEX(Weekly!I:I,MATCH($F6,Weekly!$E:$E,0))</f>
        <v>2</v>
      </c>
      <c r="M6" s="252">
        <f>INDEX(Prizes!F:F,MATCH($B6,Prizes!A:A,0))</f>
        <v>12.95</v>
      </c>
      <c r="N6" s="426">
        <f>INDEX(Weekly!J:J,MATCH($F6,Weekly!$E:$E,0))</f>
        <v>0</v>
      </c>
      <c r="O6" s="252">
        <f>INDEX(Weekly!K:K,MATCH($F6,Weekly!$E:$E,0))</f>
        <v>0</v>
      </c>
      <c r="P6" s="579">
        <f>INDEX(Weekly!M:M,MATCH($F6,Weekly!$E:$E,0))</f>
        <v>12.95</v>
      </c>
      <c r="Q6" s="621"/>
      <c r="R6" s="262"/>
      <c r="S6" s="69" t="s">
        <v>259</v>
      </c>
      <c r="T6" s="76"/>
      <c r="U6" s="76"/>
      <c r="V6" s="76"/>
      <c r="W6" s="76"/>
      <c r="X6" s="76"/>
      <c r="Y6" s="76"/>
      <c r="Z6" s="76"/>
    </row>
    <row r="7" spans="1:26" ht="14.1" customHeight="1">
      <c r="A7" s="680"/>
      <c r="B7" s="1" t="str">
        <f t="shared" si="0"/>
        <v>A6</v>
      </c>
      <c r="C7" s="257" t="s">
        <v>493</v>
      </c>
      <c r="D7" s="1">
        <v>6</v>
      </c>
      <c r="E7" s="10" t="s">
        <v>223</v>
      </c>
      <c r="F7" s="4" t="s">
        <v>298</v>
      </c>
      <c r="G7" s="535"/>
      <c r="H7" s="10" t="s">
        <v>223</v>
      </c>
      <c r="I7" s="247">
        <f>INDEX(Weekly!F:F,MATCH($F7,Weekly!$E:$E,0))</f>
        <v>-10.205</v>
      </c>
      <c r="J7" s="271">
        <f>INDEX(Weekly!G:G,MATCH($F7,Weekly!$E:$E,0))</f>
        <v>7</v>
      </c>
      <c r="K7" s="127">
        <f>INDEX(Weekly!H:H,MATCH($F7,Weekly!$E:$E,0))</f>
        <v>-4.8499999999999996</v>
      </c>
      <c r="L7" s="276">
        <f>INDEX(Weekly!I:I,MATCH($F7,Weekly!$E:$E,0))</f>
        <v>1</v>
      </c>
      <c r="M7" s="252">
        <f>INDEX(Prizes!F:F,MATCH($B7,Prizes!A:A,0))</f>
        <v>5.55</v>
      </c>
      <c r="N7" s="426">
        <f>INDEX(Weekly!J:J,MATCH($F7,Weekly!$E:$E,0))</f>
        <v>5</v>
      </c>
      <c r="O7" s="252">
        <f>INDEX(Weekly!K:K,MATCH($F7,Weekly!$E:$E,0))</f>
        <v>0</v>
      </c>
      <c r="P7" s="579">
        <f>INDEX(Weekly!M:M,MATCH($F7,Weekly!$E:$E,0))</f>
        <v>10.55</v>
      </c>
      <c r="Q7" s="621"/>
      <c r="R7" s="263"/>
      <c r="S7" s="69" t="s">
        <v>260</v>
      </c>
      <c r="T7" s="76"/>
      <c r="U7" s="76"/>
      <c r="V7" s="76"/>
      <c r="W7" s="76"/>
      <c r="X7" s="76"/>
      <c r="Y7" s="76"/>
      <c r="Z7" s="76"/>
    </row>
    <row r="8" spans="1:26" ht="14.1" customHeight="1">
      <c r="A8" s="680"/>
      <c r="B8" s="1" t="str">
        <f t="shared" si="0"/>
        <v>A7</v>
      </c>
      <c r="C8" s="257" t="s">
        <v>493</v>
      </c>
      <c r="D8" s="1">
        <v>7</v>
      </c>
      <c r="E8" s="10" t="s">
        <v>223</v>
      </c>
      <c r="F8" s="4" t="s">
        <v>283</v>
      </c>
      <c r="G8" s="535"/>
      <c r="H8" s="10" t="s">
        <v>223</v>
      </c>
      <c r="I8" s="247">
        <f>INDEX(Weekly!F:F,MATCH($F8,Weekly!$E:$E,0))</f>
        <v>-10.85</v>
      </c>
      <c r="J8" s="271">
        <f>INDEX(Weekly!G:G,MATCH($F8,Weekly!$E:$E,0))</f>
        <v>3</v>
      </c>
      <c r="K8" s="127">
        <f>INDEX(Weekly!H:H,MATCH($F8,Weekly!$E:$E,0))</f>
        <v>-4.8499999999999996</v>
      </c>
      <c r="L8" s="276">
        <f>INDEX(Weekly!I:I,MATCH($F8,Weekly!$E:$E,0))</f>
        <v>1</v>
      </c>
      <c r="M8" s="252">
        <f>INDEX(Prizes!F:F,MATCH($B8,Prizes!A:A,0))</f>
        <v>0</v>
      </c>
      <c r="N8" s="426">
        <f>INDEX(Weekly!J:J,MATCH($F8,Weekly!$E:$E,0))</f>
        <v>5</v>
      </c>
      <c r="O8" s="252">
        <f>INDEX(Weekly!K:K,MATCH($F8,Weekly!$E:$E,0))</f>
        <v>0</v>
      </c>
      <c r="P8" s="579">
        <f>INDEX(Weekly!M:M,MATCH($F8,Weekly!$E:$E,0))</f>
        <v>5</v>
      </c>
      <c r="Q8" s="621"/>
      <c r="R8" s="264"/>
      <c r="S8" s="69" t="s">
        <v>261</v>
      </c>
      <c r="T8" s="76"/>
      <c r="U8" s="76"/>
      <c r="V8" s="76"/>
      <c r="W8" s="76"/>
      <c r="X8" s="76"/>
      <c r="Y8" s="76"/>
      <c r="Z8" s="76"/>
    </row>
    <row r="9" spans="1:26" ht="14.1" customHeight="1">
      <c r="A9" s="680"/>
      <c r="B9" s="1" t="str">
        <f t="shared" si="0"/>
        <v>A8</v>
      </c>
      <c r="C9" s="257" t="s">
        <v>493</v>
      </c>
      <c r="D9" s="1">
        <v>8</v>
      </c>
      <c r="E9" s="732" t="s">
        <v>223</v>
      </c>
      <c r="F9" s="733" t="s">
        <v>487</v>
      </c>
      <c r="G9" s="735"/>
      <c r="H9" s="732" t="s">
        <v>223</v>
      </c>
      <c r="I9" s="247">
        <f>INDEX(Weekly!F:F,MATCH($F9,Weekly!$E:$E,0))</f>
        <v>-10.95</v>
      </c>
      <c r="J9" s="736">
        <f>INDEX(Weekly!G:G,MATCH($F9,Weekly!$E:$E,0))</f>
        <v>3</v>
      </c>
      <c r="K9" s="738">
        <f>INDEX(Weekly!H:H,MATCH($F9,Weekly!$E:$E,0))</f>
        <v>15.5</v>
      </c>
      <c r="L9" s="276">
        <f>INDEX(Weekly!I:I,MATCH($F9,Weekly!$E:$E,0))</f>
        <v>2</v>
      </c>
      <c r="M9" s="252">
        <f>INDEX(Prizes!F:F,MATCH($B9,Prizes!A:A,0))</f>
        <v>0</v>
      </c>
      <c r="N9" s="426">
        <f>INDEX(Weekly!J:J,MATCH($F9,Weekly!$E:$E,0))</f>
        <v>5</v>
      </c>
      <c r="O9" s="252">
        <f>INDEX(Weekly!K:K,MATCH($F9,Weekly!$E:$E,0))</f>
        <v>0</v>
      </c>
      <c r="P9" s="579">
        <f>INDEX(Weekly!M:M,MATCH($F9,Weekly!$E:$E,0))</f>
        <v>5</v>
      </c>
      <c r="Q9" s="621"/>
      <c r="R9" s="265"/>
      <c r="S9" s="69" t="s">
        <v>262</v>
      </c>
      <c r="T9" s="76"/>
      <c r="U9" s="76"/>
      <c r="V9" s="76"/>
      <c r="W9" s="76"/>
      <c r="X9" s="76"/>
      <c r="Y9" s="76"/>
      <c r="Z9" s="76"/>
    </row>
    <row r="10" spans="1:26" ht="14.1" customHeight="1">
      <c r="A10" s="680"/>
      <c r="B10" s="1" t="str">
        <f t="shared" si="0"/>
        <v>A9</v>
      </c>
      <c r="C10" s="440" t="s">
        <v>254</v>
      </c>
      <c r="D10" s="1">
        <v>9</v>
      </c>
      <c r="E10" s="10" t="s">
        <v>223</v>
      </c>
      <c r="F10" s="4" t="s">
        <v>279</v>
      </c>
      <c r="G10" s="535"/>
      <c r="H10" s="10" t="s">
        <v>223</v>
      </c>
      <c r="I10" s="247">
        <f>INDEX(Weekly!F:F,MATCH($F10,Weekly!$E:$E,0))</f>
        <v>-11.219999999999999</v>
      </c>
      <c r="J10" s="271">
        <f>INDEX(Weekly!G:G,MATCH($F10,Weekly!$E:$E,0))</f>
        <v>6</v>
      </c>
      <c r="K10" s="127">
        <f>INDEX(Weekly!H:H,MATCH($F10,Weekly!$E:$E,0))</f>
        <v>2.5399999999999991</v>
      </c>
      <c r="L10" s="276">
        <f>INDEX(Weekly!I:I,MATCH($F10,Weekly!$E:$E,0))</f>
        <v>2</v>
      </c>
      <c r="M10" s="252">
        <f>INDEX(Prizes!F:F,MATCH($B10,Prizes!A:A,0))</f>
        <v>0</v>
      </c>
      <c r="N10" s="426">
        <f>INDEX(Weekly!J:J,MATCH($F10,Weekly!$E:$E,0))</f>
        <v>0</v>
      </c>
      <c r="O10" s="252">
        <f>INDEX(Weekly!K:K,MATCH($F10,Weekly!$E:$E,0))</f>
        <v>0</v>
      </c>
      <c r="P10" s="579">
        <f>INDEX(Weekly!M:M,MATCH($F10,Weekly!$E:$E,0))</f>
        <v>0</v>
      </c>
      <c r="Q10" s="621"/>
      <c r="R10" s="266"/>
      <c r="S10" s="69" t="s">
        <v>263</v>
      </c>
      <c r="T10" s="76"/>
      <c r="U10" s="76"/>
      <c r="V10" s="76"/>
      <c r="W10" s="76"/>
      <c r="X10" s="76"/>
      <c r="Y10" s="76"/>
      <c r="Z10" s="76"/>
    </row>
    <row r="11" spans="1:26" ht="14.1" customHeight="1">
      <c r="A11" s="680"/>
      <c r="B11" s="1" t="str">
        <f t="shared" si="0"/>
        <v>A10</v>
      </c>
      <c r="C11" s="440" t="s">
        <v>254</v>
      </c>
      <c r="D11" s="1">
        <v>10</v>
      </c>
      <c r="E11" s="10" t="s">
        <v>223</v>
      </c>
      <c r="F11" s="4" t="s">
        <v>289</v>
      </c>
      <c r="G11" s="538"/>
      <c r="H11" s="10" t="s">
        <v>223</v>
      </c>
      <c r="I11" s="247">
        <f>INDEX(Weekly!F:F,MATCH($F11,Weekly!$E:$E,0))</f>
        <v>-14.449494949494948</v>
      </c>
      <c r="J11" s="271">
        <f>INDEX(Weekly!G:G,MATCH($F11,Weekly!$E:$E,0))</f>
        <v>7</v>
      </c>
      <c r="K11" s="127">
        <f>INDEX(Weekly!H:H,MATCH($F11,Weekly!$E:$E,0))</f>
        <v>-0.88888888888888928</v>
      </c>
      <c r="L11" s="276">
        <f>INDEX(Weekly!I:I,MATCH($F11,Weekly!$E:$E,0))</f>
        <v>2</v>
      </c>
      <c r="M11" s="252">
        <f>INDEX(Prizes!F:F,MATCH($B11,Prizes!A:A,0))</f>
        <v>0</v>
      </c>
      <c r="N11" s="426">
        <f>INDEX(Weekly!J:J,MATCH($F11,Weekly!$E:$E,0))</f>
        <v>0</v>
      </c>
      <c r="O11" s="252">
        <f>INDEX(Weekly!K:K,MATCH($F11,Weekly!$E:$E,0))</f>
        <v>0</v>
      </c>
      <c r="P11" s="579">
        <f>INDEX(Weekly!M:M,MATCH($F11,Weekly!$E:$E,0))</f>
        <v>0</v>
      </c>
      <c r="Q11" s="621"/>
      <c r="R11" s="76"/>
      <c r="S11" s="76"/>
      <c r="T11" s="76"/>
      <c r="U11" s="76"/>
      <c r="V11" s="76"/>
      <c r="W11" s="76"/>
      <c r="X11" s="76"/>
      <c r="Y11" s="76"/>
      <c r="Z11" s="76"/>
    </row>
    <row r="12" spans="1:26" ht="14.1" customHeight="1">
      <c r="A12" s="680"/>
      <c r="B12" s="1" t="str">
        <f t="shared" si="0"/>
        <v>A11</v>
      </c>
      <c r="C12" s="333" t="s">
        <v>255</v>
      </c>
      <c r="D12" s="334">
        <v>11</v>
      </c>
      <c r="E12" s="531" t="s">
        <v>223</v>
      </c>
      <c r="F12" s="330" t="s">
        <v>294</v>
      </c>
      <c r="G12" s="536"/>
      <c r="H12" s="531" t="s">
        <v>223</v>
      </c>
      <c r="I12" s="664">
        <f>INDEX(Weekly!F:F,MATCH($F12,Weekly!$E:$E,0))</f>
        <v>-21.316666666666666</v>
      </c>
      <c r="J12" s="665">
        <f>INDEX(Weekly!G:G,MATCH($F12,Weekly!$E:$E,0))</f>
        <v>4</v>
      </c>
      <c r="K12" s="666">
        <f>INDEX(Weekly!H:H,MATCH($F12,Weekly!$E:$E,0))</f>
        <v>-7</v>
      </c>
      <c r="L12" s="667">
        <f>INDEX(Weekly!I:I,MATCH($F12,Weekly!$E:$E,0))</f>
        <v>0</v>
      </c>
      <c r="M12" s="331">
        <f>INDEX(Prizes!F:F,MATCH($B12,Prizes!A:A,0))</f>
        <v>0</v>
      </c>
      <c r="N12" s="332">
        <f>INDEX(Weekly!J:J,MATCH($F12,Weekly!$E:$E,0))</f>
        <v>0</v>
      </c>
      <c r="O12" s="331">
        <f>INDEX(Weekly!K:K,MATCH($F12,Weekly!$E:$E,0))</f>
        <v>0</v>
      </c>
      <c r="P12" s="580">
        <f>INDEX(Weekly!M:M,MATCH($F12,Weekly!$E:$E,0))</f>
        <v>0</v>
      </c>
      <c r="Q12" s="621"/>
      <c r="R12" s="76"/>
      <c r="S12" s="76"/>
      <c r="T12" s="76"/>
      <c r="U12" s="76"/>
      <c r="V12" s="76"/>
      <c r="W12" s="76"/>
      <c r="X12" s="76"/>
      <c r="Y12" s="76"/>
      <c r="Z12" s="76"/>
    </row>
    <row r="13" spans="1:26" ht="14.1" customHeight="1">
      <c r="A13" s="680"/>
      <c r="B13" s="10" t="str">
        <f t="shared" si="0"/>
        <v>A12</v>
      </c>
      <c r="C13" s="245" t="s">
        <v>255</v>
      </c>
      <c r="D13" s="1">
        <v>12</v>
      </c>
      <c r="E13" s="10" t="s">
        <v>223</v>
      </c>
      <c r="F13" s="4" t="s">
        <v>292</v>
      </c>
      <c r="G13" s="535"/>
      <c r="H13" s="10" t="s">
        <v>223</v>
      </c>
      <c r="I13" s="247">
        <f>INDEX(Weekly!F:F,MATCH($F13,Weekly!$E:$E,0))</f>
        <v>-21.733333333333334</v>
      </c>
      <c r="J13" s="271">
        <f>INDEX(Weekly!G:G,MATCH($F13,Weekly!$E:$E,0))</f>
        <v>4</v>
      </c>
      <c r="K13" s="127">
        <f>INDEX(Weekly!H:H,MATCH($F13,Weekly!$E:$E,0))</f>
        <v>2.2666666666666675</v>
      </c>
      <c r="L13" s="276">
        <f>INDEX(Weekly!I:I,MATCH($F13,Weekly!$E:$E,0))</f>
        <v>2</v>
      </c>
      <c r="M13" s="252">
        <f>INDEX(Prizes!F:F,MATCH($B13,Prizes!A:A,0))</f>
        <v>0</v>
      </c>
      <c r="N13" s="426">
        <f>INDEX(Weekly!J:J,MATCH($F13,Weekly!$E:$E,0))</f>
        <v>0</v>
      </c>
      <c r="O13" s="252">
        <f>INDEX(Weekly!K:K,MATCH($F13,Weekly!$E:$E,0))</f>
        <v>0</v>
      </c>
      <c r="P13" s="579">
        <f>INDEX(Weekly!M:M,MATCH($F13,Weekly!$E:$E,0))</f>
        <v>0</v>
      </c>
      <c r="Q13" s="621"/>
      <c r="R13" s="76"/>
      <c r="S13" s="76"/>
      <c r="T13" s="76"/>
      <c r="U13" s="76"/>
      <c r="V13" s="76"/>
      <c r="W13" s="76"/>
      <c r="X13" s="76"/>
      <c r="Y13" s="76"/>
      <c r="Z13" s="76"/>
    </row>
    <row r="14" spans="1:26" ht="14.1" customHeight="1">
      <c r="A14" s="680"/>
      <c r="B14" s="1" t="str">
        <f t="shared" si="0"/>
        <v>A13</v>
      </c>
      <c r="C14" s="244" t="s">
        <v>255</v>
      </c>
      <c r="D14" s="1">
        <v>13</v>
      </c>
      <c r="E14" s="10" t="s">
        <v>223</v>
      </c>
      <c r="F14" s="4" t="s">
        <v>268</v>
      </c>
      <c r="G14" s="535"/>
      <c r="H14" s="10" t="s">
        <v>223</v>
      </c>
      <c r="I14" s="247">
        <f>INDEX(Weekly!F:F,MATCH($F14,Weekly!$E:$E,0))</f>
        <v>-23.849999999999998</v>
      </c>
      <c r="J14" s="271">
        <f>INDEX(Weekly!G:G,MATCH($F14,Weekly!$E:$E,0))</f>
        <v>4</v>
      </c>
      <c r="K14" s="127">
        <f>INDEX(Weekly!H:H,MATCH($F14,Weekly!$E:$E,0))</f>
        <v>-3.8</v>
      </c>
      <c r="L14" s="276">
        <f>INDEX(Weekly!I:I,MATCH($F14,Weekly!$E:$E,0))</f>
        <v>1</v>
      </c>
      <c r="M14" s="252">
        <f>INDEX(Prizes!F:F,MATCH($B14,Prizes!A:A,0))</f>
        <v>0</v>
      </c>
      <c r="N14" s="426">
        <f>INDEX(Weekly!J:J,MATCH($F14,Weekly!$E:$E,0))</f>
        <v>0</v>
      </c>
      <c r="O14" s="252">
        <f>INDEX(Weekly!K:K,MATCH($F14,Weekly!$E:$E,0))</f>
        <v>0</v>
      </c>
      <c r="P14" s="579">
        <f>INDEX(Weekly!M:M,MATCH($F14,Weekly!$E:$E,0))</f>
        <v>0</v>
      </c>
      <c r="Q14" s="621"/>
      <c r="R14" s="76"/>
      <c r="S14" s="76"/>
      <c r="T14" s="76"/>
      <c r="U14" s="76"/>
      <c r="V14" s="76"/>
      <c r="W14" s="76"/>
      <c r="X14" s="76"/>
      <c r="Y14" s="76"/>
      <c r="Z14" s="76"/>
    </row>
    <row r="15" spans="1:26" ht="14.1" customHeight="1">
      <c r="A15" s="680"/>
      <c r="B15" s="1" t="str">
        <f t="shared" si="0"/>
        <v>A14</v>
      </c>
      <c r="C15" s="244" t="s">
        <v>255</v>
      </c>
      <c r="D15" s="1">
        <v>14</v>
      </c>
      <c r="E15" s="732" t="s">
        <v>223</v>
      </c>
      <c r="F15" s="734" t="s">
        <v>282</v>
      </c>
      <c r="G15" s="735"/>
      <c r="H15" s="732" t="s">
        <v>223</v>
      </c>
      <c r="I15" s="248">
        <f>INDEX(Weekly!F:F,MATCH($F15,Weekly!$E:$E,0))</f>
        <v>-25.028571428571432</v>
      </c>
      <c r="J15" s="737">
        <f>INDEX(Weekly!G:G,MATCH($F15,Weekly!$E:$E,0))</f>
        <v>5</v>
      </c>
      <c r="K15" s="739">
        <f>INDEX(Weekly!H:H,MATCH($F15,Weekly!$E:$E,0))</f>
        <v>-5.15</v>
      </c>
      <c r="L15" s="277">
        <f>INDEX(Weekly!I:I,MATCH($F15,Weekly!$E:$E,0))</f>
        <v>1</v>
      </c>
      <c r="M15" s="252">
        <f>INDEX(Prizes!F:F,MATCH($B15,Prizes!A:A,0))</f>
        <v>0</v>
      </c>
      <c r="N15" s="426">
        <f>INDEX(Weekly!J:J,MATCH($F15,Weekly!$E:$E,0))</f>
        <v>0</v>
      </c>
      <c r="O15" s="252">
        <f>INDEX(Weekly!K:K,MATCH($F15,Weekly!$E:$E,0))</f>
        <v>0</v>
      </c>
      <c r="P15" s="579">
        <f>INDEX(Weekly!M:M,MATCH($F15,Weekly!$E:$E,0))</f>
        <v>0</v>
      </c>
      <c r="Q15" s="621"/>
      <c r="R15" s="76"/>
      <c r="S15" s="76"/>
      <c r="T15" s="76"/>
      <c r="U15" s="76"/>
      <c r="V15" s="76"/>
      <c r="W15" s="76"/>
      <c r="X15" s="76"/>
      <c r="Y15" s="76"/>
      <c r="Z15" s="76"/>
    </row>
    <row r="16" spans="1:26" ht="14.1" customHeight="1">
      <c r="A16" s="680"/>
      <c r="B16" s="1" t="str">
        <f t="shared" si="0"/>
        <v>A15</v>
      </c>
      <c r="C16" s="244" t="s">
        <v>255</v>
      </c>
      <c r="D16" s="1">
        <v>15</v>
      </c>
      <c r="E16" s="10" t="s">
        <v>223</v>
      </c>
      <c r="F16" s="4" t="s">
        <v>306</v>
      </c>
      <c r="G16" s="535"/>
      <c r="H16" s="10" t="s">
        <v>223</v>
      </c>
      <c r="I16" s="247">
        <f>INDEX(Weekly!F:F,MATCH($F16,Weekly!$E:$E,0))</f>
        <v>-25.394444444444446</v>
      </c>
      <c r="J16" s="271">
        <f>INDEX(Weekly!G:G,MATCH($F16,Weekly!$E:$E,0))</f>
        <v>3</v>
      </c>
      <c r="K16" s="127">
        <f>INDEX(Weekly!H:H,MATCH($F16,Weekly!$E:$E,0))</f>
        <v>0.55555555555555536</v>
      </c>
      <c r="L16" s="276">
        <f>INDEX(Weekly!I:I,MATCH($F16,Weekly!$E:$E,0))</f>
        <v>2</v>
      </c>
      <c r="M16" s="252">
        <f>INDEX(Prizes!F:F,MATCH($B16,Prizes!A:A,0))</f>
        <v>0</v>
      </c>
      <c r="N16" s="426">
        <f>INDEX(Weekly!J:J,MATCH($F16,Weekly!$E:$E,0))</f>
        <v>0</v>
      </c>
      <c r="O16" s="252">
        <f>INDEX(Weekly!K:K,MATCH($F16,Weekly!$E:$E,0))</f>
        <v>0</v>
      </c>
      <c r="P16" s="579">
        <f>INDEX(Weekly!M:M,MATCH($F16,Weekly!$E:$E,0))</f>
        <v>0</v>
      </c>
      <c r="Q16" s="621"/>
      <c r="R16" s="76"/>
      <c r="S16" s="76"/>
      <c r="T16" s="76"/>
      <c r="U16" s="76"/>
      <c r="V16" s="76"/>
      <c r="W16" s="76"/>
      <c r="X16" s="76"/>
      <c r="Y16" s="76"/>
      <c r="Z16" s="76"/>
    </row>
    <row r="17" spans="1:26" ht="14.1" customHeight="1" thickBot="1">
      <c r="A17" s="680"/>
      <c r="B17" s="1" t="str">
        <f t="shared" si="0"/>
        <v>A16</v>
      </c>
      <c r="C17" s="246" t="s">
        <v>255</v>
      </c>
      <c r="D17" s="240">
        <v>16</v>
      </c>
      <c r="E17" s="532" t="s">
        <v>223</v>
      </c>
      <c r="F17" s="241" t="s">
        <v>269</v>
      </c>
      <c r="G17" s="537"/>
      <c r="H17" s="532" t="s">
        <v>223</v>
      </c>
      <c r="I17" s="249">
        <f>INDEX(Weekly!F:F,MATCH($F17,Weekly!$E:$E,0))</f>
        <v>-29.090909090909086</v>
      </c>
      <c r="J17" s="273">
        <f>INDEX(Weekly!G:G,MATCH($F17,Weekly!$E:$E,0))</f>
        <v>3</v>
      </c>
      <c r="K17" s="143">
        <f>INDEX(Weekly!H:H,MATCH($F17,Weekly!$E:$E,0))</f>
        <v>-4.8499999999999996</v>
      </c>
      <c r="L17" s="278">
        <f>INDEX(Weekly!I:I,MATCH($F17,Weekly!$E:$E,0))</f>
        <v>1</v>
      </c>
      <c r="M17" s="255">
        <f>INDEX(Prizes!F:F,MATCH($B17,Prizes!A:A,0))</f>
        <v>0</v>
      </c>
      <c r="N17" s="256">
        <f>INDEX(Weekly!J:J,MATCH($F17,Weekly!$E:$E,0))</f>
        <v>0</v>
      </c>
      <c r="O17" s="255">
        <f>INDEX(Weekly!K:K,MATCH($F17,Weekly!$E:$E,0))</f>
        <v>0</v>
      </c>
      <c r="P17" s="581">
        <f>INDEX(Weekly!M:M,MATCH($F17,Weekly!$E:$E,0))</f>
        <v>0</v>
      </c>
      <c r="Q17" s="621"/>
      <c r="R17" s="76"/>
      <c r="S17" s="76"/>
      <c r="T17" s="76"/>
      <c r="U17" s="76"/>
      <c r="V17" s="76"/>
      <c r="W17" s="76"/>
      <c r="X17" s="76"/>
      <c r="Y17" s="76"/>
      <c r="Z17" s="76"/>
    </row>
    <row r="18" spans="1:26" ht="14.1" customHeight="1">
      <c r="A18" s="679" t="s">
        <v>216</v>
      </c>
      <c r="B18" s="1" t="str">
        <f t="shared" si="0"/>
        <v>B1</v>
      </c>
      <c r="C18" s="243" t="s">
        <v>256</v>
      </c>
      <c r="D18" s="1">
        <v>1</v>
      </c>
      <c r="E18" s="10" t="s">
        <v>224</v>
      </c>
      <c r="F18" s="4" t="s">
        <v>348</v>
      </c>
      <c r="G18" s="535"/>
      <c r="H18" s="10" t="s">
        <v>224</v>
      </c>
      <c r="I18" s="247">
        <f>INDEX(Weekly!F:F,MATCH($F18,Weekly!$E:$E,0))</f>
        <v>20.70218181818182</v>
      </c>
      <c r="J18" s="271">
        <f>INDEX(Weekly!G:G,MATCH($F18,Weekly!$E:$E,0))</f>
        <v>6</v>
      </c>
      <c r="K18" s="127">
        <f>INDEX(Weekly!H:H,MATCH($F18,Weekly!$E:$E,0))</f>
        <v>4.2181818181818187</v>
      </c>
      <c r="L18" s="276">
        <f>INDEX(Weekly!I:I,MATCH($F18,Weekly!$E:$E,0))</f>
        <v>2</v>
      </c>
      <c r="M18" s="252">
        <f>INDEX(Prizes!F:F,MATCH($B18,Prizes!A:A,0))</f>
        <v>45.325000000000003</v>
      </c>
      <c r="N18" s="426">
        <f>INDEX(Weekly!J:J,MATCH($F18,Weekly!$E:$E,0))</f>
        <v>5</v>
      </c>
      <c r="O18" s="252">
        <f>INDEX(Weekly!K:K,MATCH($F18,Weekly!$E:$E,0))</f>
        <v>0</v>
      </c>
      <c r="P18" s="579">
        <f>INDEX(Weekly!M:M,MATCH($F18,Weekly!$E:$E,0))</f>
        <v>50.325000000000003</v>
      </c>
      <c r="Q18" s="621"/>
      <c r="R18" s="76"/>
      <c r="S18" s="76"/>
      <c r="T18" s="76"/>
      <c r="U18" s="76"/>
      <c r="V18" s="76"/>
      <c r="W18" s="76"/>
      <c r="X18" s="76"/>
      <c r="Y18" s="76"/>
      <c r="Z18" s="76"/>
    </row>
    <row r="19" spans="1:26" ht="14.1" customHeight="1">
      <c r="A19" s="680"/>
      <c r="B19" s="1" t="str">
        <f t="shared" si="0"/>
        <v>B2</v>
      </c>
      <c r="C19" s="242" t="s">
        <v>256</v>
      </c>
      <c r="D19" s="1">
        <v>2</v>
      </c>
      <c r="E19" s="10" t="s">
        <v>224</v>
      </c>
      <c r="F19" s="4" t="s">
        <v>284</v>
      </c>
      <c r="G19" s="535"/>
      <c r="H19" s="10" t="s">
        <v>224</v>
      </c>
      <c r="I19" s="247">
        <f>INDEX(Weekly!F:F,MATCH($F19,Weekly!$E:$E,0))</f>
        <v>20.110000000000014</v>
      </c>
      <c r="J19" s="271">
        <f>INDEX(Weekly!G:G,MATCH($F19,Weekly!$E:$E,0))</f>
        <v>6</v>
      </c>
      <c r="K19" s="127">
        <f>INDEX(Weekly!H:H,MATCH($F19,Weekly!$E:$E,0))</f>
        <v>-4.7</v>
      </c>
      <c r="L19" s="276">
        <f>INDEX(Weekly!I:I,MATCH($F19,Weekly!$E:$E,0))</f>
        <v>1</v>
      </c>
      <c r="M19" s="252">
        <f>INDEX(Prizes!F:F,MATCH($B19,Prizes!A:A,0))</f>
        <v>32.375</v>
      </c>
      <c r="N19" s="426">
        <f>INDEX(Weekly!J:J,MATCH($F19,Weekly!$E:$E,0))</f>
        <v>10</v>
      </c>
      <c r="O19" s="252">
        <f>INDEX(Weekly!K:K,MATCH($F19,Weekly!$E:$E,0))</f>
        <v>0</v>
      </c>
      <c r="P19" s="579">
        <f>INDEX(Weekly!M:M,MATCH($F19,Weekly!$E:$E,0))</f>
        <v>42.375</v>
      </c>
      <c r="Q19" s="621"/>
      <c r="R19" s="76"/>
      <c r="S19" s="76"/>
      <c r="T19" s="76"/>
      <c r="U19" s="76"/>
      <c r="V19" s="76"/>
      <c r="W19" s="76"/>
      <c r="X19" s="76"/>
      <c r="Y19" s="76"/>
      <c r="Z19" s="76"/>
    </row>
    <row r="20" spans="1:26" ht="14.1" customHeight="1">
      <c r="A20" s="680"/>
      <c r="B20" s="1" t="str">
        <f t="shared" si="0"/>
        <v>B3</v>
      </c>
      <c r="C20" s="242" t="s">
        <v>256</v>
      </c>
      <c r="D20" s="1">
        <v>3</v>
      </c>
      <c r="E20" s="10" t="s">
        <v>224</v>
      </c>
      <c r="F20" s="4" t="s">
        <v>352</v>
      </c>
      <c r="G20" s="535"/>
      <c r="H20" s="10" t="s">
        <v>224</v>
      </c>
      <c r="I20" s="247">
        <f>INDEX(Weekly!F:F,MATCH($F20,Weekly!$E:$E,0))</f>
        <v>2.1981111111111131</v>
      </c>
      <c r="J20" s="271">
        <f>INDEX(Weekly!G:G,MATCH($F20,Weekly!$E:$E,0))</f>
        <v>9</v>
      </c>
      <c r="K20" s="127">
        <f>INDEX(Weekly!H:H,MATCH($F20,Weekly!$E:$E,0))</f>
        <v>9.1120000000000019</v>
      </c>
      <c r="L20" s="276">
        <f>INDEX(Weekly!I:I,MATCH($F20,Weekly!$E:$E,0))</f>
        <v>3</v>
      </c>
      <c r="M20" s="252">
        <f>INDEX(Prizes!F:F,MATCH($B20,Prizes!A:A,0))</f>
        <v>23.31</v>
      </c>
      <c r="N20" s="426">
        <f>INDEX(Weekly!J:J,MATCH($F20,Weekly!$E:$E,0))</f>
        <v>0</v>
      </c>
      <c r="O20" s="252">
        <f>INDEX(Weekly!K:K,MATCH($F20,Weekly!$E:$E,0))</f>
        <v>0</v>
      </c>
      <c r="P20" s="579">
        <f>INDEX(Weekly!M:M,MATCH($F20,Weekly!$E:$E,0))</f>
        <v>23.31</v>
      </c>
      <c r="Q20" s="621"/>
      <c r="R20" s="76"/>
      <c r="S20" s="76"/>
      <c r="T20" s="76"/>
      <c r="U20" s="76"/>
      <c r="V20" s="76"/>
      <c r="W20" s="76"/>
      <c r="X20" s="76"/>
      <c r="Y20" s="76"/>
      <c r="Z20" s="76"/>
    </row>
    <row r="21" spans="1:26" ht="14.1" customHeight="1">
      <c r="A21" s="680"/>
      <c r="B21" s="1" t="str">
        <f t="shared" si="0"/>
        <v>B4</v>
      </c>
      <c r="C21" s="242" t="s">
        <v>256</v>
      </c>
      <c r="D21" s="1">
        <v>4</v>
      </c>
      <c r="E21" s="10" t="s">
        <v>224</v>
      </c>
      <c r="F21" s="4" t="s">
        <v>275</v>
      </c>
      <c r="G21" s="4"/>
      <c r="H21" s="10" t="s">
        <v>224</v>
      </c>
      <c r="I21" s="247">
        <f>INDEX(Weekly!F:F,MATCH($F21,Weekly!$E:$E,0))</f>
        <v>-2.5642857142857149</v>
      </c>
      <c r="J21" s="271">
        <f>INDEX(Weekly!G:G,MATCH($F21,Weekly!$E:$E,0))</f>
        <v>6</v>
      </c>
      <c r="K21" s="127">
        <f>INDEX(Weekly!H:H,MATCH($F21,Weekly!$E:$E,0))</f>
        <v>-7</v>
      </c>
      <c r="L21" s="276">
        <f>INDEX(Weekly!I:I,MATCH($F21,Weekly!$E:$E,0))</f>
        <v>0</v>
      </c>
      <c r="M21" s="252">
        <f>INDEX(Prizes!F:F,MATCH($B21,Prizes!A:A,0))</f>
        <v>15.54</v>
      </c>
      <c r="N21" s="426">
        <f>INDEX(Weekly!J:J,MATCH($F21,Weekly!$E:$E,0))</f>
        <v>5</v>
      </c>
      <c r="O21" s="252">
        <f>INDEX(Weekly!K:K,MATCH($F21,Weekly!$E:$E,0))</f>
        <v>0</v>
      </c>
      <c r="P21" s="579">
        <f>INDEX(Weekly!M:M,MATCH($F21,Weekly!$E:$E,0))</f>
        <v>20.54</v>
      </c>
      <c r="Q21" s="621"/>
      <c r="R21" s="76"/>
      <c r="S21" s="76"/>
      <c r="T21" s="76"/>
      <c r="U21" s="76"/>
      <c r="V21" s="76"/>
      <c r="W21" s="76"/>
      <c r="X21" s="76"/>
      <c r="Y21" s="76"/>
      <c r="Z21" s="76"/>
    </row>
    <row r="22" spans="1:26" ht="14.1" customHeight="1">
      <c r="A22" s="680"/>
      <c r="B22" s="1" t="str">
        <f t="shared" si="0"/>
        <v>B5</v>
      </c>
      <c r="C22" s="242" t="s">
        <v>256</v>
      </c>
      <c r="D22" s="1">
        <v>5</v>
      </c>
      <c r="E22" s="10" t="s">
        <v>224</v>
      </c>
      <c r="F22" s="4" t="s">
        <v>351</v>
      </c>
      <c r="G22" s="535"/>
      <c r="H22" s="10" t="s">
        <v>224</v>
      </c>
      <c r="I22" s="247">
        <f>INDEX(Weekly!F:F,MATCH($F22,Weekly!$E:$E,0))</f>
        <v>-2.9664646464646456</v>
      </c>
      <c r="J22" s="271">
        <f>INDEX(Weekly!G:G,MATCH($F22,Weekly!$E:$E,0))</f>
        <v>7</v>
      </c>
      <c r="K22" s="127">
        <f>INDEX(Weekly!H:H,MATCH($F22,Weekly!$E:$E,0))</f>
        <v>-5.5555555555555554</v>
      </c>
      <c r="L22" s="276">
        <f>INDEX(Weekly!I:I,MATCH($F22,Weekly!$E:$E,0))</f>
        <v>1</v>
      </c>
      <c r="M22" s="252">
        <f>INDEX(Prizes!F:F,MATCH($B22,Prizes!A:A,0))</f>
        <v>9.0649999999999995</v>
      </c>
      <c r="N22" s="426">
        <f>INDEX(Weekly!J:J,MATCH($F22,Weekly!$E:$E,0))</f>
        <v>10</v>
      </c>
      <c r="O22" s="252">
        <f>INDEX(Weekly!K:K,MATCH($F22,Weekly!$E:$E,0))</f>
        <v>0</v>
      </c>
      <c r="P22" s="579">
        <f>INDEX(Weekly!M:M,MATCH($F22,Weekly!$E:$E,0))</f>
        <v>19.064999999999998</v>
      </c>
      <c r="Q22" s="621"/>
      <c r="R22" s="76"/>
      <c r="S22" s="76"/>
      <c r="T22" s="76"/>
      <c r="U22" s="76"/>
      <c r="V22" s="76"/>
      <c r="W22" s="76"/>
      <c r="X22" s="76"/>
      <c r="Y22" s="76"/>
      <c r="Z22" s="76"/>
    </row>
    <row r="23" spans="1:26" ht="14.1" customHeight="1">
      <c r="A23" s="680"/>
      <c r="B23" s="10" t="str">
        <f t="shared" si="0"/>
        <v>B6</v>
      </c>
      <c r="C23" s="322" t="s">
        <v>256</v>
      </c>
      <c r="D23" s="336">
        <v>6</v>
      </c>
      <c r="E23" s="533" t="s">
        <v>224</v>
      </c>
      <c r="F23" s="323" t="s">
        <v>270</v>
      </c>
      <c r="G23" s="538"/>
      <c r="H23" s="533" t="s">
        <v>224</v>
      </c>
      <c r="I23" s="324">
        <f>INDEX(Weekly!F:F,MATCH($F23,Weekly!$E:$E,0))</f>
        <v>-11.451719576719578</v>
      </c>
      <c r="J23" s="325">
        <f>INDEX(Weekly!G:G,MATCH($F23,Weekly!$E:$E,0))</f>
        <v>8</v>
      </c>
      <c r="K23" s="326">
        <f>INDEX(Weekly!H:H,MATCH($F23,Weekly!$E:$E,0))</f>
        <v>-1.4814814814814827</v>
      </c>
      <c r="L23" s="327">
        <f>INDEX(Weekly!I:I,MATCH($F23,Weekly!$E:$E,0))</f>
        <v>2</v>
      </c>
      <c r="M23" s="329">
        <f>INDEX(Prizes!F:F,MATCH($B23,Prizes!A:A,0))</f>
        <v>3.8849999999999998</v>
      </c>
      <c r="N23" s="329">
        <f>INDEX(Weekly!J:J,MATCH($F23,Weekly!$E:$E,0))</f>
        <v>0</v>
      </c>
      <c r="O23" s="329">
        <f>INDEX(Weekly!K:K,MATCH($F23,Weekly!$E:$E,0))</f>
        <v>0</v>
      </c>
      <c r="P23" s="582">
        <f>INDEX(Weekly!M:M,MATCH($F23,Weekly!$E:$E,0))</f>
        <v>3.8849999999999998</v>
      </c>
      <c r="Q23" s="621"/>
      <c r="R23" s="76"/>
      <c r="S23" s="76"/>
      <c r="T23" s="76"/>
      <c r="U23" s="76"/>
      <c r="V23" s="76"/>
      <c r="W23" s="76"/>
      <c r="X23" s="76"/>
      <c r="Y23" s="76"/>
      <c r="Z23" s="76"/>
    </row>
    <row r="24" spans="1:26" ht="14.1" customHeight="1">
      <c r="A24" s="680"/>
      <c r="B24" s="1" t="str">
        <f t="shared" si="0"/>
        <v>B7</v>
      </c>
      <c r="C24" s="440" t="s">
        <v>254</v>
      </c>
      <c r="D24" s="1">
        <v>7</v>
      </c>
      <c r="E24" s="732" t="s">
        <v>224</v>
      </c>
      <c r="F24" s="734" t="s">
        <v>287</v>
      </c>
      <c r="G24" s="735"/>
      <c r="H24" s="732" t="s">
        <v>224</v>
      </c>
      <c r="I24" s="247">
        <f>INDEX(Weekly!F:F,MATCH($F24,Weekly!$E:$E,0))</f>
        <v>-16.169090909090908</v>
      </c>
      <c r="J24" s="736">
        <f>INDEX(Weekly!G:G,MATCH($F24,Weekly!$E:$E,0))</f>
        <v>7</v>
      </c>
      <c r="K24" s="738">
        <f>INDEX(Weekly!H:H,MATCH($F24,Weekly!$E:$E,0))</f>
        <v>-7</v>
      </c>
      <c r="L24" s="276">
        <f>INDEX(Weekly!I:I,MATCH($F24,Weekly!$E:$E,0))</f>
        <v>0</v>
      </c>
      <c r="M24" s="252">
        <f>INDEX(Prizes!F:F,MATCH($B24,Prizes!A:A,0))</f>
        <v>0</v>
      </c>
      <c r="N24" s="426">
        <f>INDEX(Weekly!J:J,MATCH($F24,Weekly!$E:$E,0))</f>
        <v>0</v>
      </c>
      <c r="O24" s="252">
        <f>INDEX(Weekly!K:K,MATCH($F24,Weekly!$E:$E,0))</f>
        <v>0</v>
      </c>
      <c r="P24" s="579">
        <f>INDEX(Weekly!M:M,MATCH($F24,Weekly!$E:$E,0))</f>
        <v>0</v>
      </c>
      <c r="Q24" s="621"/>
      <c r="R24" s="76"/>
      <c r="S24" s="76"/>
      <c r="T24" s="76"/>
      <c r="U24" s="76"/>
      <c r="V24" s="76"/>
      <c r="W24" s="76"/>
      <c r="X24" s="76"/>
      <c r="Y24" s="76"/>
      <c r="Z24" s="76"/>
    </row>
    <row r="25" spans="1:26" ht="14.1" customHeight="1">
      <c r="A25" s="680"/>
      <c r="B25" s="1" t="str">
        <f t="shared" si="0"/>
        <v>B8</v>
      </c>
      <c r="C25" s="440" t="s">
        <v>254</v>
      </c>
      <c r="D25" s="1">
        <v>8</v>
      </c>
      <c r="E25" s="10" t="s">
        <v>224</v>
      </c>
      <c r="F25" s="4" t="s">
        <v>288</v>
      </c>
      <c r="G25" s="535"/>
      <c r="H25" s="10" t="s">
        <v>224</v>
      </c>
      <c r="I25" s="247">
        <f>INDEX(Weekly!F:F,MATCH($F25,Weekly!$E:$E,0))</f>
        <v>-16.638888888888889</v>
      </c>
      <c r="J25" s="271">
        <f>INDEX(Weekly!G:G,MATCH($F25,Weekly!$E:$E,0))</f>
        <v>6</v>
      </c>
      <c r="K25" s="127">
        <f>INDEX(Weekly!H:H,MATCH($F25,Weekly!$E:$E,0))</f>
        <v>-7</v>
      </c>
      <c r="L25" s="276">
        <f>INDEX(Weekly!I:I,MATCH($F25,Weekly!$E:$E,0))</f>
        <v>0</v>
      </c>
      <c r="M25" s="252">
        <f>INDEX(Prizes!F:F,MATCH($B25,Prizes!A:A,0))</f>
        <v>0</v>
      </c>
      <c r="N25" s="426">
        <f>INDEX(Weekly!J:J,MATCH($F25,Weekly!$E:$E,0))</f>
        <v>0</v>
      </c>
      <c r="O25" s="252">
        <f>INDEX(Weekly!K:K,MATCH($F25,Weekly!$E:$E,0))</f>
        <v>0</v>
      </c>
      <c r="P25" s="579">
        <f>INDEX(Weekly!M:M,MATCH($F25,Weekly!$E:$E,0))</f>
        <v>0</v>
      </c>
      <c r="Q25" s="621"/>
      <c r="R25" s="76"/>
      <c r="S25" s="76"/>
      <c r="T25" s="76"/>
      <c r="U25" s="76"/>
      <c r="V25" s="76"/>
      <c r="W25" s="76"/>
      <c r="X25" s="76"/>
      <c r="Y25" s="76"/>
      <c r="Z25" s="76"/>
    </row>
    <row r="26" spans="1:26" ht="14.1" customHeight="1">
      <c r="A26" s="680"/>
      <c r="B26" s="1" t="str">
        <f t="shared" si="0"/>
        <v>B9</v>
      </c>
      <c r="C26" s="260" t="s">
        <v>254</v>
      </c>
      <c r="D26" s="10">
        <v>9</v>
      </c>
      <c r="E26" s="10" t="s">
        <v>224</v>
      </c>
      <c r="F26" s="4" t="s">
        <v>533</v>
      </c>
      <c r="G26" s="535"/>
      <c r="H26" s="10" t="s">
        <v>224</v>
      </c>
      <c r="I26" s="248">
        <f>INDEX(Weekly!F:F,MATCH($F26,Weekly!$E:$E,0))</f>
        <v>-18.286666666666669</v>
      </c>
      <c r="J26" s="272">
        <f>INDEX(Weekly!G:G,MATCH($F26,Weekly!$E:$E,0))</f>
        <v>5</v>
      </c>
      <c r="K26" s="128">
        <f>INDEX(Weekly!H:H,MATCH($F26,Weekly!$E:$E,0))</f>
        <v>-4.9000000000000004</v>
      </c>
      <c r="L26" s="277">
        <f>INDEX(Weekly!I:I,MATCH($F26,Weekly!$E:$E,0))</f>
        <v>1</v>
      </c>
      <c r="M26" s="252">
        <f>INDEX(Prizes!F:F,MATCH($B26,Prizes!A:A,0))</f>
        <v>0</v>
      </c>
      <c r="N26" s="426">
        <f>INDEX(Weekly!J:J,MATCH($F26,Weekly!$E:$E,0))</f>
        <v>0</v>
      </c>
      <c r="O26" s="252">
        <f>INDEX(Weekly!K:K,MATCH($F26,Weekly!$E:$E,0))</f>
        <v>0</v>
      </c>
      <c r="P26" s="583">
        <f>INDEX(Weekly!M:M,MATCH($F26,Weekly!$E:$E,0))</f>
        <v>0</v>
      </c>
      <c r="Q26" s="621"/>
      <c r="R26" s="76"/>
      <c r="S26" s="76"/>
      <c r="T26" s="76"/>
      <c r="U26" s="76"/>
      <c r="V26" s="76"/>
      <c r="W26" s="76"/>
      <c r="X26" s="76"/>
      <c r="Y26" s="76"/>
      <c r="Z26" s="76"/>
    </row>
    <row r="27" spans="1:26" ht="14.1" customHeight="1">
      <c r="A27" s="680"/>
      <c r="B27" s="1" t="str">
        <f t="shared" si="0"/>
        <v>B10</v>
      </c>
      <c r="C27" s="260" t="s">
        <v>254</v>
      </c>
      <c r="D27" s="1">
        <v>10</v>
      </c>
      <c r="E27" s="10" t="s">
        <v>224</v>
      </c>
      <c r="F27" s="4" t="s">
        <v>486</v>
      </c>
      <c r="G27" s="535"/>
      <c r="H27" s="10" t="s">
        <v>224</v>
      </c>
      <c r="I27" s="247">
        <f>INDEX(Weekly!F:F,MATCH($F27,Weekly!$E:$E,0))</f>
        <v>-18.581818181818182</v>
      </c>
      <c r="J27" s="271">
        <f>INDEX(Weekly!G:G,MATCH($F27,Weekly!$E:$E,0))</f>
        <v>4</v>
      </c>
      <c r="K27" s="127">
        <f>INDEX(Weekly!H:H,MATCH($F27,Weekly!$E:$E,0))</f>
        <v>1.0181818181818194</v>
      </c>
      <c r="L27" s="276">
        <f>INDEX(Weekly!I:I,MATCH($F27,Weekly!$E:$E,0))</f>
        <v>2</v>
      </c>
      <c r="M27" s="252">
        <f>INDEX(Prizes!F:F,MATCH($B27,Prizes!A:A,0))</f>
        <v>0</v>
      </c>
      <c r="N27" s="426">
        <f>INDEX(Weekly!J:J,MATCH($F27,Weekly!$E:$E,0))</f>
        <v>0</v>
      </c>
      <c r="O27" s="252">
        <f>INDEX(Weekly!K:K,MATCH($F27,Weekly!$E:$E,0))</f>
        <v>0</v>
      </c>
      <c r="P27" s="579">
        <f>INDEX(Weekly!M:M,MATCH($F27,Weekly!$E:$E,0))</f>
        <v>0</v>
      </c>
      <c r="Q27" s="621"/>
      <c r="R27" s="76"/>
      <c r="S27" s="76"/>
      <c r="T27" s="76"/>
      <c r="U27" s="76"/>
      <c r="V27" s="76"/>
      <c r="W27" s="76"/>
      <c r="X27" s="76"/>
      <c r="Y27" s="76"/>
      <c r="Z27" s="76"/>
    </row>
    <row r="28" spans="1:26" ht="14.1" customHeight="1">
      <c r="A28" s="680"/>
      <c r="B28" s="10" t="str">
        <f t="shared" si="0"/>
        <v>B11</v>
      </c>
      <c r="C28" s="245" t="s">
        <v>255</v>
      </c>
      <c r="D28" s="334">
        <v>11</v>
      </c>
      <c r="E28" s="531" t="s">
        <v>224</v>
      </c>
      <c r="F28" s="330" t="s">
        <v>274</v>
      </c>
      <c r="G28" s="536"/>
      <c r="H28" s="531" t="s">
        <v>224</v>
      </c>
      <c r="I28" s="664">
        <f>INDEX(Weekly!F:F,MATCH($F28,Weekly!$E:$E,0))</f>
        <v>-19.786363636363635</v>
      </c>
      <c r="J28" s="665">
        <f>INDEX(Weekly!G:G,MATCH($F28,Weekly!$E:$E,0))</f>
        <v>5</v>
      </c>
      <c r="K28" s="666">
        <f>INDEX(Weekly!H:H,MATCH($F28,Weekly!$E:$E,0))</f>
        <v>1.163636363636364</v>
      </c>
      <c r="L28" s="667">
        <f>INDEX(Weekly!I:I,MATCH($F28,Weekly!$E:$E,0))</f>
        <v>2</v>
      </c>
      <c r="M28" s="331">
        <f>INDEX(Prizes!F:F,MATCH($B28,Prizes!A:A,0))</f>
        <v>0</v>
      </c>
      <c r="N28" s="332">
        <f>INDEX(Weekly!J:J,MATCH($F28,Weekly!$E:$E,0))</f>
        <v>0</v>
      </c>
      <c r="O28" s="331">
        <f>INDEX(Weekly!K:K,MATCH($F28,Weekly!$E:$E,0))</f>
        <v>0</v>
      </c>
      <c r="P28" s="580">
        <f>INDEX(Weekly!M:M,MATCH($F28,Weekly!$E:$E,0))</f>
        <v>0</v>
      </c>
      <c r="Q28" s="621"/>
      <c r="R28" s="76"/>
      <c r="S28" s="76"/>
      <c r="T28" s="76"/>
      <c r="U28" s="76"/>
      <c r="V28" s="76"/>
      <c r="W28" s="76"/>
      <c r="X28" s="76"/>
      <c r="Y28" s="76"/>
      <c r="Z28" s="76"/>
    </row>
    <row r="29" spans="1:26" ht="14.1" customHeight="1">
      <c r="A29" s="680"/>
      <c r="B29" s="1" t="str">
        <f t="shared" si="0"/>
        <v>B12</v>
      </c>
      <c r="C29" s="244" t="s">
        <v>255</v>
      </c>
      <c r="D29" s="1">
        <v>12</v>
      </c>
      <c r="E29" s="10" t="s">
        <v>224</v>
      </c>
      <c r="F29" s="4" t="s">
        <v>299</v>
      </c>
      <c r="G29" s="4"/>
      <c r="H29" s="10" t="s">
        <v>224</v>
      </c>
      <c r="I29" s="247">
        <f>INDEX(Weekly!F:F,MATCH($F29,Weekly!$E:$E,0))</f>
        <v>-20.305</v>
      </c>
      <c r="J29" s="271">
        <f>INDEX(Weekly!G:G,MATCH($F29,Weekly!$E:$E,0))</f>
        <v>4</v>
      </c>
      <c r="K29" s="127">
        <f>INDEX(Weekly!H:H,MATCH($F29,Weekly!$E:$E,0))</f>
        <v>-7</v>
      </c>
      <c r="L29" s="276">
        <f>INDEX(Weekly!I:I,MATCH($F29,Weekly!$E:$E,0))</f>
        <v>0</v>
      </c>
      <c r="M29" s="252">
        <f>INDEX(Prizes!F:F,MATCH($B29,Prizes!A:A,0))</f>
        <v>0</v>
      </c>
      <c r="N29" s="426">
        <f>INDEX(Weekly!J:J,MATCH($F29,Weekly!$E:$E,0))</f>
        <v>0</v>
      </c>
      <c r="O29" s="252">
        <f>INDEX(Weekly!K:K,MATCH($F29,Weekly!$E:$E,0))</f>
        <v>0</v>
      </c>
      <c r="P29" s="579">
        <f>INDEX(Weekly!M:M,MATCH($F29,Weekly!$E:$E,0))</f>
        <v>0</v>
      </c>
      <c r="Q29" s="621"/>
      <c r="R29" s="76"/>
      <c r="S29" s="76"/>
      <c r="T29" s="76"/>
      <c r="U29" s="76"/>
      <c r="V29" s="76"/>
      <c r="W29" s="76"/>
      <c r="X29" s="76"/>
      <c r="Y29" s="76"/>
      <c r="Z29" s="76"/>
    </row>
    <row r="30" spans="1:26" ht="14.1" customHeight="1">
      <c r="A30" s="680"/>
      <c r="B30" s="1" t="str">
        <f t="shared" si="0"/>
        <v>B13</v>
      </c>
      <c r="C30" s="244" t="s">
        <v>255</v>
      </c>
      <c r="D30" s="1">
        <v>13</v>
      </c>
      <c r="E30" s="732" t="s">
        <v>224</v>
      </c>
      <c r="F30" s="734" t="s">
        <v>273</v>
      </c>
      <c r="G30" s="735"/>
      <c r="H30" s="732" t="s">
        <v>224</v>
      </c>
      <c r="I30" s="247">
        <f>INDEX(Weekly!F:F,MATCH($F30,Weekly!$E:$E,0))</f>
        <v>-21.5</v>
      </c>
      <c r="J30" s="736">
        <f>INDEX(Weekly!G:G,MATCH($F30,Weekly!$E:$E,0))</f>
        <v>4</v>
      </c>
      <c r="K30" s="738">
        <f>INDEX(Weekly!H:H,MATCH($F30,Weekly!$E:$E,0))</f>
        <v>-7</v>
      </c>
      <c r="L30" s="276">
        <f>INDEX(Weekly!I:I,MATCH($F30,Weekly!$E:$E,0))</f>
        <v>0</v>
      </c>
      <c r="M30" s="252">
        <f>INDEX(Prizes!F:F,MATCH($B30,Prizes!A:A,0))</f>
        <v>0</v>
      </c>
      <c r="N30" s="426">
        <f>INDEX(Weekly!J:J,MATCH($F30,Weekly!$E:$E,0))</f>
        <v>5</v>
      </c>
      <c r="O30" s="252">
        <f>INDEX(Weekly!K:K,MATCH($F30,Weekly!$E:$E,0))</f>
        <v>0</v>
      </c>
      <c r="P30" s="579">
        <f>INDEX(Weekly!M:M,MATCH($F30,Weekly!$E:$E,0))</f>
        <v>5</v>
      </c>
      <c r="Q30" s="621"/>
      <c r="R30" s="76"/>
      <c r="S30" s="76"/>
      <c r="T30" s="76"/>
      <c r="U30" s="76"/>
      <c r="V30" s="76"/>
      <c r="W30" s="76"/>
      <c r="X30" s="76"/>
      <c r="Y30" s="76"/>
      <c r="Z30" s="76"/>
    </row>
    <row r="31" spans="1:26" ht="14.1" customHeight="1">
      <c r="A31" s="680"/>
      <c r="B31" s="1" t="str">
        <f t="shared" si="0"/>
        <v>B14</v>
      </c>
      <c r="C31" s="244" t="s">
        <v>255</v>
      </c>
      <c r="D31" s="1">
        <v>14</v>
      </c>
      <c r="E31" s="10" t="s">
        <v>224</v>
      </c>
      <c r="F31" s="4" t="s">
        <v>300</v>
      </c>
      <c r="G31" s="535"/>
      <c r="H31" s="10" t="s">
        <v>224</v>
      </c>
      <c r="I31" s="247">
        <f>INDEX(Weekly!F:F,MATCH($F31,Weekly!$E:$E,0))</f>
        <v>-21.873015873015873</v>
      </c>
      <c r="J31" s="271">
        <f>INDEX(Weekly!G:G,MATCH($F31,Weekly!$E:$E,0))</f>
        <v>5</v>
      </c>
      <c r="K31" s="127">
        <f>INDEX(Weekly!H:H,MATCH($F31,Weekly!$E:$E,0))</f>
        <v>-3.8</v>
      </c>
      <c r="L31" s="276">
        <f>INDEX(Weekly!I:I,MATCH($F31,Weekly!$E:$E,0))</f>
        <v>1</v>
      </c>
      <c r="M31" s="252">
        <f>INDEX(Prizes!F:F,MATCH($B31,Prizes!A:A,0))</f>
        <v>0</v>
      </c>
      <c r="N31" s="426">
        <f>INDEX(Weekly!J:J,MATCH($F31,Weekly!$E:$E,0))</f>
        <v>0</v>
      </c>
      <c r="O31" s="252">
        <f>INDEX(Weekly!K:K,MATCH($F31,Weekly!$E:$E,0))</f>
        <v>0</v>
      </c>
      <c r="P31" s="579">
        <f>INDEX(Weekly!M:M,MATCH($F31,Weekly!$E:$E,0))</f>
        <v>0</v>
      </c>
      <c r="Q31" s="621"/>
      <c r="R31" s="76"/>
      <c r="S31" s="76"/>
      <c r="T31" s="76"/>
      <c r="U31" s="76"/>
      <c r="V31" s="76"/>
      <c r="W31" s="76"/>
      <c r="X31" s="76"/>
      <c r="Y31" s="76"/>
      <c r="Z31" s="76"/>
    </row>
    <row r="32" spans="1:26" ht="14.1" customHeight="1">
      <c r="A32" s="680"/>
      <c r="B32" s="1" t="str">
        <f t="shared" si="0"/>
        <v>B15</v>
      </c>
      <c r="C32" s="244" t="s">
        <v>255</v>
      </c>
      <c r="D32" s="10">
        <v>15</v>
      </c>
      <c r="E32" s="10" t="s">
        <v>224</v>
      </c>
      <c r="F32" s="4" t="s">
        <v>353</v>
      </c>
      <c r="G32" s="535"/>
      <c r="H32" s="10" t="s">
        <v>224</v>
      </c>
      <c r="I32" s="247">
        <f>INDEX(Weekly!F:F,MATCH($F32,Weekly!$E:$E,0))</f>
        <v>-26.2</v>
      </c>
      <c r="J32" s="271">
        <f>INDEX(Weekly!G:G,MATCH($F32,Weekly!$E:$E,0))</f>
        <v>3</v>
      </c>
      <c r="K32" s="127">
        <f>INDEX(Weekly!H:H,MATCH($F32,Weekly!$E:$E,0))</f>
        <v>-7</v>
      </c>
      <c r="L32" s="276">
        <f>INDEX(Weekly!I:I,MATCH($F32,Weekly!$E:$E,0))</f>
        <v>0</v>
      </c>
      <c r="M32" s="252">
        <f>INDEX(Prizes!F:F,MATCH($B32,Prizes!A:A,0))</f>
        <v>0</v>
      </c>
      <c r="N32" s="426">
        <f>INDEX(Weekly!J:J,MATCH($F32,Weekly!$E:$E,0))</f>
        <v>0</v>
      </c>
      <c r="O32" s="252">
        <f>INDEX(Weekly!K:K,MATCH($F32,Weekly!$E:$E,0))</f>
        <v>0</v>
      </c>
      <c r="P32" s="579">
        <f>INDEX(Weekly!M:M,MATCH($F32,Weekly!$E:$E,0))</f>
        <v>0</v>
      </c>
      <c r="Q32" s="621"/>
      <c r="R32" s="76"/>
      <c r="S32" s="76"/>
      <c r="T32" s="76"/>
      <c r="U32" s="76"/>
      <c r="V32" s="76"/>
      <c r="W32" s="76"/>
      <c r="X32" s="76"/>
      <c r="Y32" s="76"/>
      <c r="Z32" s="76"/>
    </row>
    <row r="33" spans="1:26" ht="14.1" customHeight="1" thickBot="1">
      <c r="A33" s="680"/>
      <c r="B33" s="1" t="str">
        <f t="shared" si="0"/>
        <v>B16</v>
      </c>
      <c r="C33" s="246" t="s">
        <v>255</v>
      </c>
      <c r="D33" s="240">
        <v>16</v>
      </c>
      <c r="E33" s="532" t="s">
        <v>224</v>
      </c>
      <c r="F33" s="241" t="s">
        <v>485</v>
      </c>
      <c r="G33" s="537"/>
      <c r="H33" s="532" t="s">
        <v>224</v>
      </c>
      <c r="I33" s="249">
        <f>INDEX(Weekly!F:F,MATCH($F33,Weekly!$E:$E,0))</f>
        <v>-28.200000000000003</v>
      </c>
      <c r="J33" s="273">
        <f>INDEX(Weekly!G:G,MATCH($F33,Weekly!$E:$E,0))</f>
        <v>2</v>
      </c>
      <c r="K33" s="143">
        <f>INDEX(Weekly!H:H,MATCH($F33,Weekly!$E:$E,0))</f>
        <v>-7</v>
      </c>
      <c r="L33" s="278">
        <f>INDEX(Weekly!I:I,MATCH($F33,Weekly!$E:$E,0))</f>
        <v>0</v>
      </c>
      <c r="M33" s="256">
        <f>INDEX(Prizes!F:F,MATCH($B33,Prizes!A:A,0))</f>
        <v>0</v>
      </c>
      <c r="N33" s="256">
        <f>INDEX(Weekly!J:J,MATCH($F33,Weekly!$E:$E,0))</f>
        <v>0</v>
      </c>
      <c r="O33" s="256">
        <f>INDEX(Weekly!K:K,MATCH($F33,Weekly!$E:$E,0))</f>
        <v>0</v>
      </c>
      <c r="P33" s="584">
        <f>INDEX(Weekly!M:M,MATCH($F33,Weekly!$E:$E,0))</f>
        <v>0</v>
      </c>
      <c r="Q33" s="621"/>
      <c r="R33" s="76"/>
      <c r="S33" s="76"/>
      <c r="T33" s="76"/>
      <c r="U33" s="76"/>
      <c r="V33" s="76"/>
      <c r="W33" s="76"/>
      <c r="X33" s="76"/>
      <c r="Y33" s="76"/>
      <c r="Z33" s="76"/>
    </row>
    <row r="34" spans="1:26" ht="14.1" customHeight="1">
      <c r="A34" s="681" t="s">
        <v>217</v>
      </c>
      <c r="B34" s="1" t="str">
        <f t="shared" ref="B34:B51" si="1">CONCATENATE(E34,D34)</f>
        <v>C1</v>
      </c>
      <c r="C34" s="242" t="s">
        <v>256</v>
      </c>
      <c r="D34" s="1">
        <v>1</v>
      </c>
      <c r="E34" s="10" t="s">
        <v>225</v>
      </c>
      <c r="F34" s="4" t="s">
        <v>297</v>
      </c>
      <c r="G34" s="535"/>
      <c r="H34" s="10" t="s">
        <v>225</v>
      </c>
      <c r="I34" s="248">
        <f>INDEX(Weekly!F:F,MATCH($F34,Weekly!$E:$E,0))</f>
        <v>14.516666666666666</v>
      </c>
      <c r="J34" s="272">
        <f>INDEX(Weekly!G:G,MATCH($F34,Weekly!$E:$E,0))</f>
        <v>8</v>
      </c>
      <c r="K34" s="128">
        <f>INDEX(Weekly!H:H,MATCH($F34,Weekly!$E:$E,0))</f>
        <v>24.64</v>
      </c>
      <c r="L34" s="277">
        <f>INDEX(Weekly!I:I,MATCH($F34,Weekly!$E:$E,0))</f>
        <v>3</v>
      </c>
      <c r="M34" s="252">
        <f>INDEX(Prizes!F:F,MATCH($B34,Prizes!A:A,0))</f>
        <v>19.425000000000001</v>
      </c>
      <c r="N34" s="426">
        <f>INDEX(Weekly!J:J,MATCH($F34,Weekly!$E:$E,0))</f>
        <v>15</v>
      </c>
      <c r="O34" s="252">
        <f>INDEX(Weekly!K:K,MATCH($F34,Weekly!$E:$E,0))</f>
        <v>0</v>
      </c>
      <c r="P34" s="579">
        <f>INDEX(Weekly!M:M,MATCH($F34,Weekly!$E:$E,0))</f>
        <v>34.424999999999997</v>
      </c>
      <c r="Q34" s="621"/>
      <c r="R34" s="76"/>
      <c r="S34" s="76"/>
      <c r="T34" s="76"/>
      <c r="U34" s="76"/>
      <c r="V34" s="76"/>
      <c r="W34" s="76"/>
      <c r="X34" s="76"/>
      <c r="Y34" s="76"/>
      <c r="Z34" s="76"/>
    </row>
    <row r="35" spans="1:26" ht="14.1" customHeight="1">
      <c r="A35" s="682"/>
      <c r="B35" s="1" t="str">
        <f t="shared" si="1"/>
        <v>C2</v>
      </c>
      <c r="C35" s="242" t="s">
        <v>256</v>
      </c>
      <c r="D35" s="1">
        <v>2</v>
      </c>
      <c r="E35" s="10" t="s">
        <v>225</v>
      </c>
      <c r="F35" s="14" t="s">
        <v>290</v>
      </c>
      <c r="G35" s="535"/>
      <c r="H35" s="10" t="s">
        <v>225</v>
      </c>
      <c r="I35" s="247">
        <f>INDEX(Weekly!F:F,MATCH($F35,Weekly!$E:$E,0))</f>
        <v>12.430000000000003</v>
      </c>
      <c r="J35" s="271">
        <f>INDEX(Weekly!G:G,MATCH($F35,Weekly!$E:$E,0))</f>
        <v>6</v>
      </c>
      <c r="K35" s="127">
        <f>INDEX(Weekly!H:H,MATCH($F35,Weekly!$E:$E,0))</f>
        <v>11.270000000000003</v>
      </c>
      <c r="L35" s="276">
        <f>INDEX(Weekly!I:I,MATCH($F35,Weekly!$E:$E,0))</f>
        <v>2</v>
      </c>
      <c r="M35" s="252">
        <f>INDEX(Prizes!F:F,MATCH($B35,Prizes!A:A,0))</f>
        <v>13.875</v>
      </c>
      <c r="N35" s="426">
        <f>INDEX(Weekly!J:J,MATCH($F35,Weekly!$E:$E,0))</f>
        <v>15</v>
      </c>
      <c r="O35" s="252">
        <f>INDEX(Weekly!K:K,MATCH($F35,Weekly!$E:$E,0))</f>
        <v>0</v>
      </c>
      <c r="P35" s="579">
        <f>INDEX(Weekly!M:M,MATCH($F35,Weekly!$E:$E,0))</f>
        <v>28.875</v>
      </c>
      <c r="Q35" s="621"/>
      <c r="R35" s="76"/>
      <c r="S35" s="76"/>
      <c r="T35" s="76"/>
      <c r="U35" s="76"/>
      <c r="V35" s="76"/>
      <c r="W35" s="76"/>
      <c r="X35" s="76"/>
      <c r="Y35" s="76"/>
      <c r="Z35" s="76"/>
    </row>
    <row r="36" spans="1:26" ht="14.1" customHeight="1">
      <c r="A36" s="682"/>
      <c r="B36" s="10" t="str">
        <f t="shared" si="1"/>
        <v>C3</v>
      </c>
      <c r="C36" s="243" t="s">
        <v>256</v>
      </c>
      <c r="D36" s="1">
        <v>3</v>
      </c>
      <c r="E36" s="10" t="s">
        <v>225</v>
      </c>
      <c r="F36" s="4" t="s">
        <v>276</v>
      </c>
      <c r="G36" s="535"/>
      <c r="H36" s="10" t="s">
        <v>225</v>
      </c>
      <c r="I36" s="247">
        <f>INDEX(Weekly!F:F,MATCH($F36,Weekly!$E:$E,0))</f>
        <v>0.40636363636363626</v>
      </c>
      <c r="J36" s="271">
        <f>INDEX(Weekly!G:G,MATCH($F36,Weekly!$E:$E,0))</f>
        <v>5</v>
      </c>
      <c r="K36" s="127">
        <f>INDEX(Weekly!H:H,MATCH($F36,Weekly!$E:$E,0))</f>
        <v>23.156363636363636</v>
      </c>
      <c r="L36" s="276">
        <f>INDEX(Weekly!I:I,MATCH($F36,Weekly!$E:$E,0))</f>
        <v>3</v>
      </c>
      <c r="M36" s="252">
        <f>INDEX(Prizes!F:F,MATCH($B36,Prizes!A:A,0))</f>
        <v>9.99</v>
      </c>
      <c r="N36" s="426">
        <f>INDEX(Weekly!J:J,MATCH($F36,Weekly!$E:$E,0))</f>
        <v>5</v>
      </c>
      <c r="O36" s="252">
        <f>INDEX(Weekly!K:K,MATCH($F36,Weekly!$E:$E,0))</f>
        <v>0</v>
      </c>
      <c r="P36" s="583">
        <f>INDEX(Weekly!M:M,MATCH($F36,Weekly!$E:$E,0))</f>
        <v>14.99</v>
      </c>
      <c r="Q36" s="621"/>
      <c r="R36" s="76"/>
      <c r="S36" s="76"/>
      <c r="T36" s="76"/>
      <c r="U36" s="76"/>
      <c r="V36" s="76"/>
      <c r="W36" s="76"/>
      <c r="X36" s="76"/>
      <c r="Y36" s="76"/>
      <c r="Z36" s="76"/>
    </row>
    <row r="37" spans="1:26" ht="14.1" customHeight="1">
      <c r="A37" s="682"/>
      <c r="B37" s="1" t="str">
        <f t="shared" si="1"/>
        <v>C4</v>
      </c>
      <c r="C37" s="242" t="s">
        <v>256</v>
      </c>
      <c r="D37" s="1">
        <v>4</v>
      </c>
      <c r="E37" s="10" t="s">
        <v>225</v>
      </c>
      <c r="F37" s="4" t="s">
        <v>285</v>
      </c>
      <c r="G37" s="535"/>
      <c r="H37" s="10" t="s">
        <v>225</v>
      </c>
      <c r="I37" s="247">
        <f>INDEX(Weekly!F:F,MATCH($F37,Weekly!$E:$E,0))</f>
        <v>-0.76545454545454383</v>
      </c>
      <c r="J37" s="271">
        <f>INDEX(Weekly!G:G,MATCH($F37,Weekly!$E:$E,0))</f>
        <v>4</v>
      </c>
      <c r="K37" s="127">
        <f>INDEX(Weekly!H:H,MATCH($F37,Weekly!$E:$E,0))</f>
        <v>-7</v>
      </c>
      <c r="L37" s="276">
        <f>INDEX(Weekly!I:I,MATCH($F37,Weekly!$E:$E,0))</f>
        <v>0</v>
      </c>
      <c r="M37" s="252">
        <f>INDEX(Prizes!F:F,MATCH($B37,Prizes!A:A,0))</f>
        <v>6.66</v>
      </c>
      <c r="N37" s="426">
        <f>INDEX(Weekly!J:J,MATCH($F37,Weekly!$E:$E,0))</f>
        <v>10</v>
      </c>
      <c r="O37" s="252">
        <f>INDEX(Weekly!K:K,MATCH($F37,Weekly!$E:$E,0))</f>
        <v>0</v>
      </c>
      <c r="P37" s="579">
        <f>INDEX(Weekly!M:M,MATCH($F37,Weekly!$E:$E,0))</f>
        <v>16.66</v>
      </c>
      <c r="Q37" s="621"/>
      <c r="R37" s="76"/>
      <c r="S37" s="76"/>
      <c r="T37" s="76"/>
      <c r="U37" s="76"/>
      <c r="V37" s="76"/>
      <c r="W37" s="76"/>
      <c r="X37" s="76"/>
      <c r="Y37" s="76"/>
      <c r="Z37" s="76"/>
    </row>
    <row r="38" spans="1:26" ht="14.1" customHeight="1">
      <c r="A38" s="682"/>
      <c r="B38" s="1" t="str">
        <f t="shared" si="1"/>
        <v>C5</v>
      </c>
      <c r="C38" s="242" t="s">
        <v>256</v>
      </c>
      <c r="D38" s="1">
        <v>5</v>
      </c>
      <c r="E38" s="10" t="s">
        <v>225</v>
      </c>
      <c r="F38" s="14" t="s">
        <v>488</v>
      </c>
      <c r="G38" s="535"/>
      <c r="H38" s="10" t="s">
        <v>225</v>
      </c>
      <c r="I38" s="247">
        <f>INDEX(Weekly!F:F,MATCH($F38,Weekly!$E:$E,0))</f>
        <v>-2.7861471861471863</v>
      </c>
      <c r="J38" s="271">
        <f>INDEX(Weekly!G:G,MATCH($F38,Weekly!$E:$E,0))</f>
        <v>8</v>
      </c>
      <c r="K38" s="127">
        <f>INDEX(Weekly!H:H,MATCH($F38,Weekly!$E:$E,0))</f>
        <v>3.4000000000000004</v>
      </c>
      <c r="L38" s="276">
        <f>INDEX(Weekly!I:I,MATCH($F38,Weekly!$E:$E,0))</f>
        <v>2</v>
      </c>
      <c r="M38" s="252">
        <f>INDEX(Prizes!F:F,MATCH($B38,Prizes!A:A,0))</f>
        <v>3.8849999999999998</v>
      </c>
      <c r="N38" s="426">
        <f>INDEX(Weekly!J:J,MATCH($F38,Weekly!$E:$E,0))</f>
        <v>0</v>
      </c>
      <c r="O38" s="252">
        <f>INDEX(Weekly!K:K,MATCH($F38,Weekly!$E:$E,0))</f>
        <v>0</v>
      </c>
      <c r="P38" s="579">
        <f>INDEX(Weekly!M:M,MATCH($F38,Weekly!$E:$E,0))</f>
        <v>3.8849999999999998</v>
      </c>
      <c r="Q38" s="621"/>
      <c r="R38" s="76"/>
      <c r="S38" s="76"/>
      <c r="T38" s="76"/>
      <c r="U38" s="76"/>
      <c r="V38" s="76"/>
      <c r="W38" s="76"/>
      <c r="X38" s="76"/>
      <c r="Y38" s="76"/>
      <c r="Z38" s="76"/>
    </row>
    <row r="39" spans="1:26" ht="14.1" customHeight="1">
      <c r="A39" s="682"/>
      <c r="B39" s="1" t="str">
        <f t="shared" si="1"/>
        <v>C6</v>
      </c>
      <c r="C39" s="335" t="s">
        <v>256</v>
      </c>
      <c r="D39" s="336">
        <v>6</v>
      </c>
      <c r="E39" s="533" t="s">
        <v>225</v>
      </c>
      <c r="F39" s="323" t="s">
        <v>271</v>
      </c>
      <c r="G39" s="538"/>
      <c r="H39" s="533" t="s">
        <v>225</v>
      </c>
      <c r="I39" s="324">
        <f>INDEX(Weekly!F:F,MATCH($F39,Weekly!$E:$E,0))</f>
        <v>-12.134999999999998</v>
      </c>
      <c r="J39" s="325">
        <f>INDEX(Weekly!G:G,MATCH($F39,Weekly!$E:$E,0))</f>
        <v>6</v>
      </c>
      <c r="K39" s="326">
        <f>INDEX(Weekly!H:H,MATCH($F39,Weekly!$E:$E,0))</f>
        <v>2.7100000000000009</v>
      </c>
      <c r="L39" s="327">
        <f>INDEX(Weekly!I:I,MATCH($F39,Weekly!$E:$E,0))</f>
        <v>2</v>
      </c>
      <c r="M39" s="328">
        <f>INDEX(Prizes!F:F,MATCH($B39,Prizes!A:A,0))</f>
        <v>1.665</v>
      </c>
      <c r="N39" s="329">
        <f>INDEX(Weekly!J:J,MATCH($F39,Weekly!$E:$E,0))</f>
        <v>0</v>
      </c>
      <c r="O39" s="328">
        <f>INDEX(Weekly!K:K,MATCH($F39,Weekly!$E:$E,0))</f>
        <v>0</v>
      </c>
      <c r="P39" s="582">
        <f>INDEX(Weekly!M:M,MATCH($F39,Weekly!$E:$E,0))</f>
        <v>1.665</v>
      </c>
      <c r="Q39" s="621"/>
      <c r="R39" s="76"/>
      <c r="S39" s="76"/>
      <c r="T39" s="76"/>
      <c r="U39" s="76"/>
      <c r="V39" s="76"/>
      <c r="W39" s="76"/>
      <c r="X39" s="76"/>
      <c r="Y39" s="76"/>
      <c r="Z39" s="76"/>
    </row>
    <row r="40" spans="1:26" ht="14.1" customHeight="1">
      <c r="A40" s="682"/>
      <c r="B40" s="1" t="str">
        <f t="shared" si="1"/>
        <v>C7</v>
      </c>
      <c r="C40" s="260" t="s">
        <v>254</v>
      </c>
      <c r="D40" s="10">
        <v>7</v>
      </c>
      <c r="E40" s="10" t="s">
        <v>225</v>
      </c>
      <c r="F40" s="4" t="s">
        <v>349</v>
      </c>
      <c r="G40" s="535"/>
      <c r="H40" s="10" t="s">
        <v>225</v>
      </c>
      <c r="I40" s="247">
        <f>INDEX(Weekly!F:F,MATCH($F40,Weekly!$E:$E,0))</f>
        <v>-13.397922077922077</v>
      </c>
      <c r="J40" s="271">
        <f>INDEX(Weekly!G:G,MATCH($F40,Weekly!$E:$E,0))</f>
        <v>7</v>
      </c>
      <c r="K40" s="127">
        <f>INDEX(Weekly!H:H,MATCH($F40,Weekly!$E:$E,0))</f>
        <v>-4.8499999999999996</v>
      </c>
      <c r="L40" s="276">
        <f>INDEX(Weekly!I:I,MATCH($F40,Weekly!$E:$E,0))</f>
        <v>1</v>
      </c>
      <c r="M40" s="252">
        <f>INDEX(Prizes!F:F,MATCH($B40,Prizes!A:A,0))</f>
        <v>0</v>
      </c>
      <c r="N40" s="426">
        <f>INDEX(Weekly!J:J,MATCH($F40,Weekly!$E:$E,0))</f>
        <v>0</v>
      </c>
      <c r="O40" s="252">
        <f>INDEX(Weekly!K:K,MATCH($F40,Weekly!$E:$E,0))</f>
        <v>0</v>
      </c>
      <c r="P40" s="579">
        <f>INDEX(Weekly!M:M,MATCH($F40,Weekly!$E:$E,0))</f>
        <v>0</v>
      </c>
      <c r="Q40" s="621"/>
      <c r="R40" s="76"/>
      <c r="S40" s="76"/>
      <c r="T40" s="76"/>
      <c r="U40" s="76"/>
      <c r="V40" s="76"/>
      <c r="W40" s="76"/>
      <c r="X40" s="76"/>
      <c r="Y40" s="76"/>
      <c r="Z40" s="76"/>
    </row>
    <row r="41" spans="1:26" ht="14.1" customHeight="1">
      <c r="A41" s="682"/>
      <c r="B41" s="1" t="str">
        <f t="shared" si="1"/>
        <v>C8</v>
      </c>
      <c r="C41" s="260" t="s">
        <v>254</v>
      </c>
      <c r="D41" s="1">
        <v>8</v>
      </c>
      <c r="E41" s="732" t="s">
        <v>225</v>
      </c>
      <c r="F41" s="734" t="s">
        <v>286</v>
      </c>
      <c r="G41" s="735"/>
      <c r="H41" s="732" t="s">
        <v>225</v>
      </c>
      <c r="I41" s="247">
        <f>INDEX(Weekly!F:F,MATCH($F41,Weekly!$E:$E,0))</f>
        <v>-14.288888888888888</v>
      </c>
      <c r="J41" s="736">
        <f>INDEX(Weekly!G:G,MATCH($F41,Weekly!$E:$E,0))</f>
        <v>6</v>
      </c>
      <c r="K41" s="738">
        <f>INDEX(Weekly!H:H,MATCH($F41,Weekly!$E:$E,0))</f>
        <v>-0.8888888888888884</v>
      </c>
      <c r="L41" s="276">
        <f>INDEX(Weekly!I:I,MATCH($F41,Weekly!$E:$E,0))</f>
        <v>2</v>
      </c>
      <c r="M41" s="252">
        <f>INDEX(Prizes!F:F,MATCH($B41,Prizes!A:A,0))</f>
        <v>0</v>
      </c>
      <c r="N41" s="426">
        <f>INDEX(Weekly!J:J,MATCH($F41,Weekly!$E:$E,0))</f>
        <v>5</v>
      </c>
      <c r="O41" s="252">
        <f>INDEX(Weekly!K:K,MATCH($F41,Weekly!$E:$E,0))</f>
        <v>0</v>
      </c>
      <c r="P41" s="579">
        <f>INDEX(Weekly!M:M,MATCH($F41,Weekly!$E:$E,0))</f>
        <v>5</v>
      </c>
      <c r="Q41" s="621"/>
      <c r="R41" s="76"/>
      <c r="S41" s="76"/>
      <c r="T41" s="76"/>
      <c r="U41" s="76"/>
      <c r="V41" s="76"/>
      <c r="W41" s="76"/>
      <c r="X41" s="76"/>
      <c r="Y41" s="76"/>
      <c r="Z41" s="76"/>
    </row>
    <row r="42" spans="1:26" ht="14.1" customHeight="1">
      <c r="A42" s="682"/>
      <c r="B42" s="1" t="str">
        <f t="shared" si="1"/>
        <v>C9</v>
      </c>
      <c r="C42" s="257" t="s">
        <v>493</v>
      </c>
      <c r="D42" s="1">
        <v>9</v>
      </c>
      <c r="E42" s="10" t="s">
        <v>225</v>
      </c>
      <c r="F42" s="4" t="s">
        <v>293</v>
      </c>
      <c r="G42" s="535"/>
      <c r="H42" s="10" t="s">
        <v>225</v>
      </c>
      <c r="I42" s="247">
        <f>INDEX(Weekly!F:F,MATCH($F42,Weekly!$E:$E,0))</f>
        <v>-18.75</v>
      </c>
      <c r="J42" s="271">
        <f>INDEX(Weekly!G:G,MATCH($F42,Weekly!$E:$E,0))</f>
        <v>3</v>
      </c>
      <c r="K42" s="127">
        <f>INDEX(Weekly!H:H,MATCH($F42,Weekly!$E:$E,0))</f>
        <v>7.0500000000000007</v>
      </c>
      <c r="L42" s="276">
        <f>INDEX(Weekly!I:I,MATCH($F42,Weekly!$E:$E,0))</f>
        <v>2</v>
      </c>
      <c r="M42" s="252">
        <f>INDEX(Prizes!F:F,MATCH($B42,Prizes!A:A,0))</f>
        <v>0</v>
      </c>
      <c r="N42" s="426">
        <f>INDEX(Weekly!J:J,MATCH($F42,Weekly!$E:$E,0))</f>
        <v>0</v>
      </c>
      <c r="O42" s="252">
        <f>INDEX(Weekly!K:K,MATCH($F42,Weekly!$E:$E,0))</f>
        <v>0</v>
      </c>
      <c r="P42" s="579">
        <f>INDEX(Weekly!M:M,MATCH($F42,Weekly!$E:$E,0))</f>
        <v>0</v>
      </c>
      <c r="Q42" s="621"/>
      <c r="R42" s="76"/>
      <c r="S42" s="76"/>
      <c r="T42" s="76"/>
      <c r="U42" s="76"/>
      <c r="V42" s="76"/>
      <c r="W42" s="76"/>
      <c r="X42" s="76"/>
      <c r="Y42" s="76"/>
      <c r="Z42" s="76"/>
    </row>
    <row r="43" spans="1:26" ht="14.1" customHeight="1">
      <c r="A43" s="682"/>
      <c r="B43" s="1" t="str">
        <f t="shared" si="1"/>
        <v>C10</v>
      </c>
      <c r="C43" s="257" t="s">
        <v>493</v>
      </c>
      <c r="D43" s="626">
        <v>10</v>
      </c>
      <c r="E43" s="10" t="s">
        <v>225</v>
      </c>
      <c r="F43" s="4" t="s">
        <v>494</v>
      </c>
      <c r="G43" s="535"/>
      <c r="H43" s="10" t="s">
        <v>225</v>
      </c>
      <c r="I43" s="247">
        <f>INDEX(Weekly!F:F,MATCH($F43,Weekly!$E:$E,0))</f>
        <v>-19.484166666666663</v>
      </c>
      <c r="J43" s="271">
        <f>INDEX(Weekly!G:G,MATCH($F43,Weekly!$E:$E,0))</f>
        <v>5</v>
      </c>
      <c r="K43" s="127">
        <f>INDEX(Weekly!H:H,MATCH($F43,Weekly!$E:$E,0))</f>
        <v>-0.75499999999999989</v>
      </c>
      <c r="L43" s="276">
        <f>INDEX(Weekly!I:I,MATCH($F43,Weekly!$E:$E,0))</f>
        <v>2</v>
      </c>
      <c r="M43" s="252">
        <f>INDEX(Prizes!F:F,MATCH($B43,Prizes!A:A,0))</f>
        <v>0</v>
      </c>
      <c r="N43" s="426">
        <f>INDEX(Weekly!J:J,MATCH($F43,Weekly!$E:$E,0))</f>
        <v>0</v>
      </c>
      <c r="O43" s="252">
        <f>INDEX(Weekly!K:K,MATCH($F43,Weekly!$E:$E,0))</f>
        <v>0</v>
      </c>
      <c r="P43" s="579">
        <f>INDEX(Weekly!M:M,MATCH($F43,Weekly!$E:$E,0))</f>
        <v>0</v>
      </c>
      <c r="Q43" s="621"/>
      <c r="R43" s="76"/>
      <c r="S43" s="76"/>
      <c r="T43" s="76"/>
      <c r="U43" s="76"/>
      <c r="V43" s="76"/>
      <c r="W43" s="76"/>
      <c r="X43" s="76"/>
      <c r="Y43" s="76"/>
      <c r="Z43" s="76"/>
    </row>
    <row r="44" spans="1:26" ht="14.1" customHeight="1">
      <c r="A44" s="682"/>
      <c r="B44" s="1" t="str">
        <f t="shared" si="1"/>
        <v>C11</v>
      </c>
      <c r="C44" s="257" t="s">
        <v>493</v>
      </c>
      <c r="D44" s="1">
        <v>11</v>
      </c>
      <c r="E44" s="10" t="s">
        <v>225</v>
      </c>
      <c r="F44" s="4" t="s">
        <v>296</v>
      </c>
      <c r="G44" s="535"/>
      <c r="H44" s="10" t="s">
        <v>225</v>
      </c>
      <c r="I44" s="247">
        <f>INDEX(Weekly!F:F,MATCH($F44,Weekly!$E:$E,0))</f>
        <v>-23.530555555555555</v>
      </c>
      <c r="J44" s="271">
        <f>INDEX(Weekly!G:G,MATCH($F44,Weekly!$E:$E,0))</f>
        <v>5</v>
      </c>
      <c r="K44" s="127">
        <f>INDEX(Weekly!H:H,MATCH($F44,Weekly!$E:$E,0))</f>
        <v>-5.7</v>
      </c>
      <c r="L44" s="276">
        <f>INDEX(Weekly!I:I,MATCH($F44,Weekly!$E:$E,0))</f>
        <v>1</v>
      </c>
      <c r="M44" s="252">
        <f>INDEX(Prizes!F:F,MATCH($B44,Prizes!A:A,0))</f>
        <v>0</v>
      </c>
      <c r="N44" s="426">
        <f>INDEX(Weekly!J:J,MATCH($F44,Weekly!$E:$E,0))</f>
        <v>0</v>
      </c>
      <c r="O44" s="252">
        <f>INDEX(Weekly!K:K,MATCH($F44,Weekly!$E:$E,0))</f>
        <v>0</v>
      </c>
      <c r="P44" s="579">
        <f>INDEX(Weekly!M:M,MATCH($F44,Weekly!$E:$E,0))</f>
        <v>0</v>
      </c>
      <c r="Q44" s="621"/>
      <c r="R44" s="76"/>
      <c r="S44" s="76"/>
      <c r="T44" s="76"/>
      <c r="U44" s="76"/>
      <c r="V44" s="76"/>
      <c r="W44" s="76"/>
      <c r="X44" s="76"/>
      <c r="Y44" s="76"/>
      <c r="Z44" s="76"/>
    </row>
    <row r="45" spans="1:26" ht="14.1" customHeight="1">
      <c r="A45" s="682"/>
      <c r="B45" s="1" t="str">
        <f t="shared" si="1"/>
        <v>C12</v>
      </c>
      <c r="C45" s="257" t="s">
        <v>493</v>
      </c>
      <c r="D45" s="1">
        <v>12</v>
      </c>
      <c r="E45" s="10" t="s">
        <v>225</v>
      </c>
      <c r="F45" s="14" t="s">
        <v>574</v>
      </c>
      <c r="G45" s="535"/>
      <c r="H45" s="10" t="s">
        <v>225</v>
      </c>
      <c r="I45" s="247">
        <f>INDEX(Weekly!F:F,MATCH($F45,Weekly!$E:$E,0))</f>
        <v>-23.885858585858585</v>
      </c>
      <c r="J45" s="271">
        <f>INDEX(Weekly!G:G,MATCH($F45,Weekly!$E:$E,0))</f>
        <v>4</v>
      </c>
      <c r="K45" s="127">
        <f>INDEX(Weekly!H:H,MATCH($F45,Weekly!$E:$E,0))</f>
        <v>-5.5555555555555554</v>
      </c>
      <c r="L45" s="276">
        <f>INDEX(Weekly!I:I,MATCH($F45,Weekly!$E:$E,0))</f>
        <v>1</v>
      </c>
      <c r="M45" s="252">
        <f>INDEX(Prizes!F:F,MATCH($B45,Prizes!A:A,0))</f>
        <v>0</v>
      </c>
      <c r="N45" s="426">
        <f>INDEX(Weekly!J:J,MATCH($F45,Weekly!$E:$E,0))</f>
        <v>0</v>
      </c>
      <c r="O45" s="252">
        <f>INDEX(Weekly!K:K,MATCH($F45,Weekly!$E:$E,0))</f>
        <v>0</v>
      </c>
      <c r="P45" s="579">
        <f>INDEX(Weekly!M:M,MATCH($F45,Weekly!$E:$E,0))</f>
        <v>0</v>
      </c>
      <c r="Q45" s="621"/>
      <c r="R45" s="76"/>
      <c r="S45" s="76"/>
      <c r="T45" s="76"/>
      <c r="U45" s="76"/>
      <c r="V45" s="76"/>
      <c r="W45" s="76"/>
      <c r="X45" s="76"/>
      <c r="Y45" s="76"/>
      <c r="Z45" s="76"/>
    </row>
    <row r="46" spans="1:26" ht="14.1" customHeight="1">
      <c r="A46" s="682"/>
      <c r="B46" s="10" t="s">
        <v>386</v>
      </c>
      <c r="C46" s="257" t="s">
        <v>493</v>
      </c>
      <c r="D46" s="1">
        <v>13</v>
      </c>
      <c r="E46" s="10" t="s">
        <v>225</v>
      </c>
      <c r="F46" s="14" t="s">
        <v>575</v>
      </c>
      <c r="G46" s="535"/>
      <c r="H46" s="10" t="s">
        <v>225</v>
      </c>
      <c r="I46" s="247">
        <f>INDEX(Weekly!F:F,MATCH($F46,Weekly!$E:$E,0))</f>
        <v>-26.700000000000003</v>
      </c>
      <c r="J46" s="271">
        <f>INDEX(Weekly!G:G,MATCH($F46,Weekly!$E:$E,0))</f>
        <v>6</v>
      </c>
      <c r="K46" s="127">
        <f>INDEX(Weekly!H:H,MATCH($F46,Weekly!$E:$E,0))</f>
        <v>-1.8666666666666671</v>
      </c>
      <c r="L46" s="276">
        <f>INDEX(Weekly!I:I,MATCH($F46,Weekly!$E:$E,0))</f>
        <v>2</v>
      </c>
      <c r="M46" s="252">
        <f>INDEX(Prizes!F:F,MATCH($B46,Prizes!A:A,0))</f>
        <v>0</v>
      </c>
      <c r="N46" s="426">
        <f>INDEX(Weekly!J:J,MATCH($F46,Weekly!$E:$E,0))</f>
        <v>0</v>
      </c>
      <c r="O46" s="252">
        <f>INDEX(Weekly!K:K,MATCH($F46,Weekly!$E:$E,0))</f>
        <v>0</v>
      </c>
      <c r="P46" s="579">
        <f>INDEX(Weekly!M:M,MATCH($F46,Weekly!$E:$E,0))</f>
        <v>0</v>
      </c>
      <c r="Q46" s="621"/>
      <c r="R46" s="76"/>
      <c r="S46" s="76"/>
      <c r="T46" s="76"/>
      <c r="U46" s="76"/>
      <c r="V46" s="76"/>
      <c r="W46" s="76"/>
      <c r="X46" s="76"/>
      <c r="Y46" s="76"/>
      <c r="Z46" s="76"/>
    </row>
    <row r="47" spans="1:26" ht="14.1" customHeight="1">
      <c r="A47" s="682"/>
      <c r="B47" s="10" t="s">
        <v>387</v>
      </c>
      <c r="C47" s="257" t="s">
        <v>493</v>
      </c>
      <c r="D47" s="1">
        <v>14</v>
      </c>
      <c r="E47" s="10" t="s">
        <v>225</v>
      </c>
      <c r="F47" s="4" t="s">
        <v>502</v>
      </c>
      <c r="G47" s="535"/>
      <c r="H47" s="10" t="s">
        <v>225</v>
      </c>
      <c r="I47" s="247">
        <f>INDEX(Weekly!F:F,MATCH($F47,Weekly!$E:$E,0))</f>
        <v>-33.6</v>
      </c>
      <c r="J47" s="271">
        <f>INDEX(Weekly!G:G,MATCH($F47,Weekly!$E:$E,0))</f>
        <v>1</v>
      </c>
      <c r="K47" s="127">
        <f>INDEX(Weekly!H:H,MATCH($F47,Weekly!$E:$E,0))</f>
        <v>-7</v>
      </c>
      <c r="L47" s="276">
        <f>INDEX(Weekly!I:I,MATCH($F47,Weekly!$E:$E,0))</f>
        <v>0</v>
      </c>
      <c r="M47" s="252">
        <f>INDEX(Prizes!F:F,MATCH($B47,Prizes!A:A,0))</f>
        <v>0</v>
      </c>
      <c r="N47" s="426">
        <f>INDEX(Weekly!J:J,MATCH($F47,Weekly!$E:$E,0))</f>
        <v>0</v>
      </c>
      <c r="O47" s="252">
        <f>INDEX(Weekly!K:K,MATCH($F47,Weekly!$E:$E,0))</f>
        <v>0</v>
      </c>
      <c r="P47" s="579">
        <f>INDEX(Weekly!M:M,MATCH($F47,Weekly!$E:$E,0))</f>
        <v>0</v>
      </c>
      <c r="Q47" s="621"/>
      <c r="R47" s="76"/>
      <c r="S47" s="76"/>
      <c r="T47" s="76"/>
      <c r="U47" s="76"/>
      <c r="V47" s="76"/>
      <c r="W47" s="76"/>
      <c r="X47" s="76"/>
      <c r="Y47" s="76"/>
      <c r="Z47" s="76"/>
    </row>
    <row r="48" spans="1:26" ht="14.1" customHeight="1">
      <c r="A48" s="682"/>
      <c r="B48" s="1"/>
      <c r="C48" s="257"/>
      <c r="D48" s="10"/>
      <c r="E48" s="10"/>
      <c r="G48" s="535"/>
      <c r="H48" s="10"/>
      <c r="I48" s="247"/>
      <c r="J48" s="271"/>
      <c r="K48" s="127"/>
      <c r="L48" s="276"/>
      <c r="M48" s="252"/>
      <c r="N48" s="426"/>
      <c r="O48" s="252"/>
      <c r="P48" s="579"/>
      <c r="Q48" s="621"/>
      <c r="R48" s="76"/>
      <c r="S48" s="76"/>
      <c r="T48" s="76"/>
      <c r="U48" s="76"/>
      <c r="V48" s="76"/>
      <c r="W48" s="76"/>
      <c r="X48" s="76"/>
      <c r="Y48" s="76"/>
      <c r="Z48" s="76"/>
    </row>
    <row r="49" spans="1:26" ht="14.1" customHeight="1">
      <c r="A49" s="682"/>
      <c r="B49" s="1"/>
      <c r="C49" s="257"/>
      <c r="D49" s="626"/>
      <c r="E49" s="10"/>
      <c r="G49" s="535"/>
      <c r="H49" s="10"/>
      <c r="I49" s="247"/>
      <c r="J49" s="271"/>
      <c r="K49" s="127"/>
      <c r="L49" s="276"/>
      <c r="M49" s="252"/>
      <c r="N49" s="426"/>
      <c r="O49" s="252"/>
      <c r="P49" s="583"/>
      <c r="Q49" s="621"/>
      <c r="R49" s="76"/>
      <c r="S49" s="76"/>
      <c r="T49" s="76"/>
      <c r="U49" s="76"/>
      <c r="V49" s="76"/>
      <c r="W49" s="76"/>
      <c r="X49" s="76"/>
      <c r="Y49" s="76"/>
      <c r="Z49" s="76"/>
    </row>
    <row r="50" spans="1:26" ht="14.1" customHeight="1">
      <c r="A50" s="682"/>
      <c r="B50" s="1"/>
      <c r="C50" s="257"/>
      <c r="D50" s="1"/>
      <c r="E50" s="10"/>
      <c r="G50" s="535"/>
      <c r="H50" s="10"/>
      <c r="I50" s="247"/>
      <c r="J50" s="271"/>
      <c r="K50" s="127"/>
      <c r="L50" s="276"/>
      <c r="M50" s="252"/>
      <c r="N50" s="426"/>
      <c r="O50" s="252"/>
      <c r="P50" s="579"/>
      <c r="Q50" s="621"/>
      <c r="R50" s="76"/>
      <c r="S50" s="76"/>
      <c r="T50" s="76"/>
      <c r="U50" s="76"/>
      <c r="V50" s="76"/>
      <c r="W50" s="76"/>
      <c r="X50" s="76"/>
      <c r="Y50" s="76"/>
      <c r="Z50" s="76"/>
    </row>
    <row r="51" spans="1:26" ht="14.1" customHeight="1">
      <c r="A51" s="682"/>
      <c r="B51" s="1" t="str">
        <f t="shared" si="1"/>
        <v/>
      </c>
      <c r="C51" s="257"/>
      <c r="D51" s="1"/>
      <c r="E51" s="10"/>
      <c r="G51" s="535"/>
      <c r="H51" s="10"/>
      <c r="I51" s="247"/>
      <c r="J51" s="271"/>
      <c r="K51" s="127"/>
      <c r="L51" s="276"/>
      <c r="M51" s="252"/>
      <c r="N51" s="426"/>
      <c r="O51" s="252"/>
      <c r="P51" s="579"/>
      <c r="Q51" s="621"/>
      <c r="R51" s="76"/>
      <c r="S51" s="76"/>
      <c r="T51" s="76"/>
      <c r="U51" s="76"/>
      <c r="V51" s="76"/>
      <c r="W51" s="76"/>
      <c r="X51" s="76"/>
      <c r="Y51" s="76"/>
      <c r="Z51" s="76"/>
    </row>
    <row r="52" spans="1:26" ht="14.1" customHeight="1" thickBot="1">
      <c r="A52" s="592"/>
      <c r="B52" s="389"/>
      <c r="C52" s="259"/>
      <c r="D52" s="240"/>
      <c r="E52" s="532"/>
      <c r="F52" s="241"/>
      <c r="G52" s="537"/>
      <c r="H52" s="532"/>
      <c r="I52" s="249"/>
      <c r="J52" s="273"/>
      <c r="K52" s="143"/>
      <c r="L52" s="278"/>
      <c r="M52" s="255"/>
      <c r="N52" s="256"/>
      <c r="O52" s="255"/>
      <c r="P52" s="584"/>
      <c r="Q52" s="621"/>
    </row>
    <row r="53" spans="1:26">
      <c r="C53" s="1"/>
      <c r="D53" s="1"/>
      <c r="E53" s="10"/>
      <c r="G53" s="194"/>
      <c r="H53" s="10"/>
      <c r="I53" s="127"/>
      <c r="J53" s="271"/>
      <c r="K53" s="127"/>
      <c r="L53" s="271"/>
      <c r="M53" s="55"/>
      <c r="N53" s="18"/>
      <c r="O53" s="55"/>
      <c r="P53" s="55"/>
    </row>
    <row r="54" spans="1:26">
      <c r="C54" s="8"/>
      <c r="D54" s="8"/>
      <c r="F54" s="14"/>
      <c r="M54" s="252">
        <f>SUM(M2:M52)</f>
        <v>370.00000000000006</v>
      </c>
      <c r="N54" s="253">
        <f>SUM(N2:N52)</f>
        <v>125</v>
      </c>
      <c r="O54" s="253">
        <f>SUM(O2:O52)</f>
        <v>0</v>
      </c>
      <c r="P54" s="253">
        <f>SUM(P2:P52)</f>
        <v>495.00000000000006</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13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orientation="portrait"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4"/>
  <sheetViews>
    <sheetView zoomScaleNormal="100" workbookViewId="0">
      <pane xSplit="5" ySplit="1" topLeftCell="R7" activePane="bottomRight" state="frozen"/>
      <selection pane="topRight" activeCell="G1" sqref="G1"/>
      <selection pane="bottomLeft" activeCell="A2" sqref="A2"/>
      <selection pane="bottomRight" activeCell="AA37" sqref="AA37"/>
    </sheetView>
  </sheetViews>
  <sheetFormatPr defaultColWidth="9.1328125" defaultRowHeight="11.65"/>
  <cols>
    <col min="1" max="1" width="11.3984375" style="238" customWidth="1"/>
    <col min="2" max="2" width="10.3984375" style="238" customWidth="1"/>
    <col min="3" max="3" width="11" style="238" customWidth="1"/>
    <col min="4" max="4" width="6" style="282" customWidth="1"/>
    <col min="5" max="5" width="23.1328125" style="224" customWidth="1"/>
    <col min="6" max="6" width="10.1328125" style="236" customWidth="1"/>
    <col min="7" max="7" width="9.265625" style="48" customWidth="1"/>
    <col min="8" max="8" width="8.265625" style="236"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16" customFormat="1" ht="44.25" customHeight="1">
      <c r="A1" s="300" t="s">
        <v>100</v>
      </c>
      <c r="B1" s="300" t="s">
        <v>101</v>
      </c>
      <c r="C1" s="300" t="s">
        <v>335</v>
      </c>
      <c r="D1" s="301" t="s">
        <v>219</v>
      </c>
      <c r="E1" s="302" t="s">
        <v>16</v>
      </c>
      <c r="F1" s="411" t="s">
        <v>400</v>
      </c>
      <c r="G1" s="412" t="s">
        <v>265</v>
      </c>
      <c r="H1" s="411" t="s">
        <v>126</v>
      </c>
      <c r="I1" s="413" t="s">
        <v>401</v>
      </c>
      <c r="J1" s="304" t="s">
        <v>222</v>
      </c>
      <c r="K1" s="305" t="s">
        <v>164</v>
      </c>
      <c r="L1" s="305" t="s">
        <v>402</v>
      </c>
      <c r="M1" s="303" t="s">
        <v>228</v>
      </c>
      <c r="N1" s="306" t="s">
        <v>58</v>
      </c>
      <c r="O1" s="307" t="s">
        <v>59</v>
      </c>
      <c r="P1" s="308" t="s">
        <v>103</v>
      </c>
      <c r="Q1" s="309" t="s">
        <v>60</v>
      </c>
      <c r="R1" s="310" t="s">
        <v>61</v>
      </c>
      <c r="S1" s="311" t="s">
        <v>104</v>
      </c>
      <c r="T1" s="306" t="s">
        <v>62</v>
      </c>
      <c r="U1" s="312" t="s">
        <v>63</v>
      </c>
      <c r="V1" s="308" t="s">
        <v>105</v>
      </c>
      <c r="W1" s="309" t="s">
        <v>64</v>
      </c>
      <c r="X1" s="310" t="s">
        <v>65</v>
      </c>
      <c r="Y1" s="311" t="s">
        <v>106</v>
      </c>
      <c r="Z1" s="306" t="s">
        <v>66</v>
      </c>
      <c r="AA1" s="312" t="s">
        <v>67</v>
      </c>
      <c r="AB1" s="308" t="s">
        <v>107</v>
      </c>
      <c r="AC1" s="309" t="s">
        <v>68</v>
      </c>
      <c r="AD1" s="310" t="s">
        <v>69</v>
      </c>
      <c r="AE1" s="311" t="s">
        <v>108</v>
      </c>
      <c r="AF1" s="306" t="s">
        <v>70</v>
      </c>
      <c r="AG1" s="312" t="s">
        <v>71</v>
      </c>
      <c r="AH1" s="308" t="s">
        <v>109</v>
      </c>
      <c r="AI1" s="309" t="s">
        <v>72</v>
      </c>
      <c r="AJ1" s="310" t="s">
        <v>73</v>
      </c>
      <c r="AK1" s="311" t="s">
        <v>110</v>
      </c>
      <c r="AL1" s="306" t="s">
        <v>74</v>
      </c>
      <c r="AM1" s="312" t="s">
        <v>75</v>
      </c>
      <c r="AN1" s="308" t="s">
        <v>111</v>
      </c>
      <c r="AO1" s="309" t="s">
        <v>76</v>
      </c>
      <c r="AP1" s="310" t="s">
        <v>77</v>
      </c>
      <c r="AQ1" s="311" t="s">
        <v>112</v>
      </c>
      <c r="AR1" s="306" t="s">
        <v>78</v>
      </c>
      <c r="AS1" s="312" t="s">
        <v>79</v>
      </c>
      <c r="AT1" s="308" t="s">
        <v>113</v>
      </c>
      <c r="AU1" s="309" t="s">
        <v>80</v>
      </c>
      <c r="AV1" s="310" t="s">
        <v>81</v>
      </c>
      <c r="AW1" s="311" t="s">
        <v>114</v>
      </c>
      <c r="AX1" s="306" t="s">
        <v>82</v>
      </c>
      <c r="AY1" s="312" t="s">
        <v>86</v>
      </c>
      <c r="AZ1" s="308" t="s">
        <v>115</v>
      </c>
      <c r="BA1" s="309" t="s">
        <v>87</v>
      </c>
      <c r="BB1" s="310" t="s">
        <v>83</v>
      </c>
      <c r="BC1" s="311" t="s">
        <v>116</v>
      </c>
      <c r="BD1" s="306" t="s">
        <v>84</v>
      </c>
      <c r="BE1" s="312" t="s">
        <v>85</v>
      </c>
      <c r="BF1" s="308" t="s">
        <v>117</v>
      </c>
      <c r="BG1" s="309" t="s">
        <v>88</v>
      </c>
      <c r="BH1" s="313" t="s">
        <v>89</v>
      </c>
      <c r="BI1" s="311" t="s">
        <v>118</v>
      </c>
      <c r="BJ1" s="306" t="s">
        <v>90</v>
      </c>
      <c r="BK1" s="312" t="s">
        <v>91</v>
      </c>
      <c r="BL1" s="308" t="s">
        <v>119</v>
      </c>
      <c r="BM1" s="309" t="s">
        <v>92</v>
      </c>
      <c r="BN1" s="313" t="s">
        <v>93</v>
      </c>
      <c r="BO1" s="311" t="s">
        <v>120</v>
      </c>
      <c r="BP1" s="306" t="s">
        <v>94</v>
      </c>
      <c r="BQ1" s="312" t="s">
        <v>95</v>
      </c>
      <c r="BR1" s="308" t="s">
        <v>121</v>
      </c>
      <c r="BS1" s="309" t="s">
        <v>96</v>
      </c>
      <c r="BT1" s="310" t="s">
        <v>97</v>
      </c>
      <c r="BU1" s="311" t="s">
        <v>122</v>
      </c>
      <c r="BV1" s="309" t="s">
        <v>98</v>
      </c>
      <c r="BW1" s="310" t="s">
        <v>99</v>
      </c>
      <c r="BX1" s="311" t="s">
        <v>123</v>
      </c>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c r="DK1" s="314"/>
      <c r="DL1" s="314"/>
      <c r="DM1" s="314"/>
      <c r="DN1" s="314"/>
      <c r="DO1" s="314"/>
      <c r="DP1" s="314"/>
      <c r="DQ1" s="314"/>
      <c r="DR1" s="314"/>
      <c r="DS1" s="314"/>
      <c r="DT1" s="314"/>
      <c r="DU1" s="314"/>
      <c r="DV1" s="314"/>
      <c r="DW1" s="314"/>
      <c r="DX1" s="315"/>
      <c r="DY1" s="315"/>
      <c r="DZ1" s="315"/>
      <c r="EA1" s="315"/>
      <c r="EB1" s="315"/>
      <c r="EC1" s="315"/>
      <c r="ED1" s="315"/>
      <c r="EE1" s="315"/>
    </row>
    <row r="2" spans="1:137">
      <c r="A2" s="237">
        <f t="shared" ref="A2:A32" si="0">_xlfn.RANK.EQ(F2,totalscores,0)</f>
        <v>42</v>
      </c>
      <c r="B2" s="237">
        <f t="shared" ref="B2:B45" si="1">_xlfn.RANK.EQ(H2,thisweekscore,0)</f>
        <v>34</v>
      </c>
      <c r="C2" s="237"/>
      <c r="D2" s="281" t="str">
        <f>INDEX(Table!E:E,MATCH(E2,Table!F:F,0))</f>
        <v>B</v>
      </c>
      <c r="E2" s="223" t="s">
        <v>485</v>
      </c>
      <c r="F2" s="235">
        <f t="shared" ref="F2:F32" si="2">+N2+Q2+T2+W2+Z2+AC2+AF2+AI2+AL2+AO2+AR2+AU2+AX2+BA2+BD2+BG2+BJ2+BM2+BP2+BS2</f>
        <v>-28.200000000000003</v>
      </c>
      <c r="G2" s="54">
        <f t="shared" ref="G2:G32" si="3">+O2+R2+U2+X2+AA2+AD2+AG2+AJ2+AM2+AP2+AS2+AV2+AY2+BB2+BE2+BH2+BK2+BN2+BQ2+BT2</f>
        <v>2</v>
      </c>
      <c r="H2" s="677">
        <v>-7</v>
      </c>
      <c r="I2" s="678">
        <v>0</v>
      </c>
      <c r="J2" s="225">
        <f>P2+S2+V2+Y2+AB2+AE2+AH2+AK2+AN2+AQ2+AT2+AW2+AZ2+BC2+BF2+BI2+BL2+BO2+BR2+BU2</f>
        <v>0</v>
      </c>
      <c r="K2" s="226"/>
      <c r="L2" s="226">
        <f>INDEX(Table!M:M,MATCH(E2,Table!F:F,0))</f>
        <v>0</v>
      </c>
      <c r="M2" s="225">
        <f>K2+J2+L2</f>
        <v>0</v>
      </c>
      <c r="N2" s="227">
        <v>-3.1</v>
      </c>
      <c r="O2" s="228">
        <v>1</v>
      </c>
      <c r="P2" s="229"/>
      <c r="Q2" s="230">
        <v>-7</v>
      </c>
      <c r="R2" s="231">
        <v>0</v>
      </c>
      <c r="S2" s="232"/>
      <c r="T2" s="227">
        <v>-7</v>
      </c>
      <c r="U2" s="233">
        <v>0</v>
      </c>
      <c r="V2" s="229"/>
      <c r="W2" s="230">
        <v>-4.0999999999999996</v>
      </c>
      <c r="X2" s="231">
        <v>1</v>
      </c>
      <c r="Y2" s="232"/>
      <c r="Z2" s="227">
        <v>-7</v>
      </c>
      <c r="AA2" s="233">
        <v>0</v>
      </c>
      <c r="AB2" s="229"/>
      <c r="AC2" s="230"/>
      <c r="AD2" s="231"/>
      <c r="AE2" s="232"/>
      <c r="AF2" s="227"/>
      <c r="AG2" s="233"/>
      <c r="AH2" s="229"/>
      <c r="AI2" s="230"/>
      <c r="AJ2" s="231"/>
      <c r="AK2" s="232"/>
      <c r="AL2" s="227"/>
      <c r="AM2" s="233"/>
      <c r="AN2" s="229"/>
      <c r="AO2" s="230"/>
      <c r="AP2" s="231"/>
      <c r="AQ2" s="232"/>
      <c r="AR2" s="227"/>
      <c r="AS2" s="233"/>
      <c r="AT2" s="229"/>
      <c r="AU2" s="230"/>
      <c r="AV2" s="231"/>
      <c r="AW2" s="232"/>
      <c r="AX2" s="227"/>
      <c r="AY2" s="233"/>
      <c r="AZ2" s="229"/>
      <c r="BA2" s="230"/>
      <c r="BB2" s="231"/>
      <c r="BC2" s="232"/>
      <c r="BD2" s="227"/>
      <c r="BE2" s="233"/>
      <c r="BF2" s="229"/>
      <c r="BG2" s="230"/>
      <c r="BH2" s="234"/>
      <c r="BI2" s="232"/>
      <c r="BJ2" s="227"/>
      <c r="BK2" s="233"/>
      <c r="BL2" s="229"/>
      <c r="BM2" s="230"/>
      <c r="BN2" s="234"/>
      <c r="BO2" s="232"/>
      <c r="BP2" s="227"/>
      <c r="BQ2" s="233"/>
      <c r="BR2" s="229"/>
      <c r="BS2" s="230"/>
      <c r="BT2" s="231"/>
      <c r="BU2" s="232"/>
      <c r="BV2" s="230">
        <f t="shared" ref="BV2:BV32" si="4">BS2+BP2+BM2+BJ2+BG2+BD2+BA2+AX2+AU2+AR2+AO2+AL2+AI2+AF2+AC2+Z2+W2+T2+Q2+N2</f>
        <v>-28.200000000000003</v>
      </c>
      <c r="BW2" s="231">
        <f t="shared" ref="BW2:BW32" si="5">BT2+BQ2+BN2+BK2+BH2+BE2+BB2+AY2+AV2+AS2+AP2+AM2+AJ2+AG2+AD2+AA2+X2+U2+R2+O2</f>
        <v>2</v>
      </c>
      <c r="BX2" s="232">
        <f t="shared" ref="BX2:BX32" si="6">BU2+BR2+BO2+BL2+BI2+BF2+BC2+AZ2+AW2+AT2+AQ2+AN2+AK2+AH2+AE2+AB2+Y2+V2+S2+P2</f>
        <v>0</v>
      </c>
      <c r="BY2" s="48"/>
      <c r="DX2" s="49"/>
      <c r="DY2" s="49"/>
      <c r="EF2" s="46"/>
      <c r="EG2" s="46"/>
    </row>
    <row r="3" spans="1:137">
      <c r="A3" s="237">
        <f t="shared" si="0"/>
        <v>3</v>
      </c>
      <c r="B3" s="237">
        <f t="shared" si="1"/>
        <v>25</v>
      </c>
      <c r="C3" s="237"/>
      <c r="D3" s="281" t="str">
        <f>INDEX(Table!E:E,MATCH(E3,Table!F:F,0))</f>
        <v>B</v>
      </c>
      <c r="E3" s="223" t="s">
        <v>284</v>
      </c>
      <c r="F3" s="235">
        <f t="shared" si="2"/>
        <v>20.110000000000014</v>
      </c>
      <c r="G3" s="54">
        <f t="shared" si="3"/>
        <v>6</v>
      </c>
      <c r="H3" s="677">
        <v>-4.7</v>
      </c>
      <c r="I3" s="678">
        <v>1</v>
      </c>
      <c r="J3" s="225">
        <f t="shared" ref="J3:J45" si="7">P3+S3+V3+Y3+AB3+AE3+AH3+AK3+AN3+AQ3+AT3+AW3+AZ3+BC3+BF3+BI3+BL3+BO3+BR3+BU3</f>
        <v>10</v>
      </c>
      <c r="K3" s="226"/>
      <c r="L3" s="226">
        <f>INDEX(Table!M:M,MATCH(E3,Table!F:F,0))</f>
        <v>32.375</v>
      </c>
      <c r="M3" s="225">
        <f t="shared" ref="M3:M45" si="8">K3+J3+L3</f>
        <v>42.375</v>
      </c>
      <c r="N3" s="227">
        <v>-3.75</v>
      </c>
      <c r="O3" s="228">
        <v>1</v>
      </c>
      <c r="P3" s="229"/>
      <c r="Q3" s="230">
        <v>-7</v>
      </c>
      <c r="R3" s="231">
        <v>0</v>
      </c>
      <c r="S3" s="232"/>
      <c r="T3" s="227">
        <v>-3.8</v>
      </c>
      <c r="U3" s="233">
        <v>1</v>
      </c>
      <c r="V3" s="229"/>
      <c r="W3" s="230">
        <v>39.360000000000014</v>
      </c>
      <c r="X3" s="231">
        <v>3</v>
      </c>
      <c r="Y3" s="232">
        <v>10</v>
      </c>
      <c r="Z3" s="227">
        <v>-4.7</v>
      </c>
      <c r="AA3" s="233">
        <v>1</v>
      </c>
      <c r="AB3" s="229"/>
      <c r="AC3" s="230"/>
      <c r="AD3" s="231"/>
      <c r="AE3" s="232"/>
      <c r="AF3" s="227"/>
      <c r="AG3" s="233"/>
      <c r="AH3" s="229"/>
      <c r="AI3" s="230"/>
      <c r="AJ3" s="231"/>
      <c r="AK3" s="232"/>
      <c r="AL3" s="227"/>
      <c r="AM3" s="233"/>
      <c r="AN3" s="229"/>
      <c r="AO3" s="230"/>
      <c r="AP3" s="231"/>
      <c r="AQ3" s="232"/>
      <c r="AR3" s="227"/>
      <c r="AS3" s="233"/>
      <c r="AT3" s="229"/>
      <c r="AU3" s="230"/>
      <c r="AV3" s="231"/>
      <c r="AW3" s="232"/>
      <c r="AX3" s="227"/>
      <c r="AY3" s="233"/>
      <c r="AZ3" s="229"/>
      <c r="BA3" s="230"/>
      <c r="BB3" s="231"/>
      <c r="BC3" s="232"/>
      <c r="BD3" s="227"/>
      <c r="BE3" s="233"/>
      <c r="BF3" s="229"/>
      <c r="BG3" s="230"/>
      <c r="BH3" s="234"/>
      <c r="BI3" s="232"/>
      <c r="BJ3" s="227"/>
      <c r="BK3" s="233"/>
      <c r="BL3" s="229"/>
      <c r="BM3" s="230"/>
      <c r="BN3" s="234"/>
      <c r="BO3" s="232"/>
      <c r="BP3" s="227"/>
      <c r="BQ3" s="233"/>
      <c r="BR3" s="229"/>
      <c r="BS3" s="230"/>
      <c r="BT3" s="231"/>
      <c r="BU3" s="232"/>
      <c r="BV3" s="230">
        <f t="shared" si="4"/>
        <v>20.11000000000001</v>
      </c>
      <c r="BW3" s="231">
        <f t="shared" si="5"/>
        <v>6</v>
      </c>
      <c r="BX3" s="232">
        <f t="shared" si="6"/>
        <v>10</v>
      </c>
      <c r="BY3" s="48"/>
      <c r="DX3" s="49"/>
      <c r="DY3" s="49"/>
      <c r="EF3" s="46"/>
      <c r="EG3" s="46"/>
    </row>
    <row r="4" spans="1:137">
      <c r="A4" s="237">
        <f t="shared" si="0"/>
        <v>14</v>
      </c>
      <c r="B4" s="237">
        <f t="shared" si="1"/>
        <v>17</v>
      </c>
      <c r="C4" s="237"/>
      <c r="D4" s="281" t="str">
        <f>INDEX(Table!E:E,MATCH(E4,Table!F:F,0))</f>
        <v>A</v>
      </c>
      <c r="E4" s="223" t="s">
        <v>417</v>
      </c>
      <c r="F4" s="235">
        <f t="shared" si="2"/>
        <v>-6.2275000000000027</v>
      </c>
      <c r="G4" s="54">
        <f t="shared" si="3"/>
        <v>8</v>
      </c>
      <c r="H4" s="677">
        <v>-0.40000000000000036</v>
      </c>
      <c r="I4" s="678">
        <v>2</v>
      </c>
      <c r="J4" s="225">
        <f t="shared" si="7"/>
        <v>0</v>
      </c>
      <c r="K4" s="226"/>
      <c r="L4" s="226">
        <f>INDEX(Table!M:M,MATCH(E4,Table!F:F,0))</f>
        <v>22.2</v>
      </c>
      <c r="M4" s="225">
        <f t="shared" si="8"/>
        <v>22.2</v>
      </c>
      <c r="N4" s="227">
        <v>0.69249999999999901</v>
      </c>
      <c r="O4" s="228">
        <v>2</v>
      </c>
      <c r="P4" s="229"/>
      <c r="Q4" s="230">
        <v>-5.2</v>
      </c>
      <c r="R4" s="231">
        <v>1</v>
      </c>
      <c r="S4" s="232"/>
      <c r="T4" s="227">
        <v>2.879999999999999</v>
      </c>
      <c r="U4" s="233">
        <v>2</v>
      </c>
      <c r="V4" s="229"/>
      <c r="W4" s="230">
        <v>-4.2</v>
      </c>
      <c r="X4" s="231">
        <v>1</v>
      </c>
      <c r="Y4" s="232"/>
      <c r="Z4" s="227">
        <v>-0.40000000000000036</v>
      </c>
      <c r="AA4" s="233">
        <v>2</v>
      </c>
      <c r="AB4" s="229"/>
      <c r="AC4" s="230"/>
      <c r="AD4" s="231"/>
      <c r="AE4" s="232"/>
      <c r="AF4" s="227"/>
      <c r="AG4" s="233"/>
      <c r="AH4" s="229"/>
      <c r="AI4" s="230"/>
      <c r="AJ4" s="231"/>
      <c r="AK4" s="232"/>
      <c r="AL4" s="227"/>
      <c r="AM4" s="233"/>
      <c r="AN4" s="229"/>
      <c r="AO4" s="230"/>
      <c r="AP4" s="231"/>
      <c r="AQ4" s="232"/>
      <c r="AR4" s="227"/>
      <c r="AS4" s="233"/>
      <c r="AT4" s="229"/>
      <c r="AU4" s="230"/>
      <c r="AV4" s="231"/>
      <c r="AW4" s="232"/>
      <c r="AX4" s="227"/>
      <c r="AY4" s="233"/>
      <c r="AZ4" s="229"/>
      <c r="BA4" s="230"/>
      <c r="BB4" s="231"/>
      <c r="BC4" s="232"/>
      <c r="BD4" s="227"/>
      <c r="BE4" s="233"/>
      <c r="BF4" s="229"/>
      <c r="BG4" s="230"/>
      <c r="BH4" s="234"/>
      <c r="BI4" s="232"/>
      <c r="BJ4" s="227"/>
      <c r="BK4" s="233"/>
      <c r="BL4" s="229"/>
      <c r="BM4" s="230"/>
      <c r="BN4" s="234"/>
      <c r="BO4" s="232"/>
      <c r="BP4" s="227"/>
      <c r="BQ4" s="233"/>
      <c r="BR4" s="229"/>
      <c r="BS4" s="230"/>
      <c r="BT4" s="231"/>
      <c r="BU4" s="232"/>
      <c r="BV4" s="230">
        <f t="shared" si="4"/>
        <v>-6.2275000000000027</v>
      </c>
      <c r="BW4" s="231">
        <f t="shared" si="5"/>
        <v>8</v>
      </c>
      <c r="BX4" s="232">
        <f t="shared" si="6"/>
        <v>0</v>
      </c>
      <c r="BY4" s="48"/>
      <c r="DX4" s="49"/>
      <c r="DY4" s="49"/>
      <c r="EF4" s="46"/>
      <c r="EG4" s="46"/>
    </row>
    <row r="5" spans="1:137">
      <c r="A5" s="237">
        <f t="shared" si="0"/>
        <v>44</v>
      </c>
      <c r="B5" s="237">
        <f t="shared" si="1"/>
        <v>34</v>
      </c>
      <c r="C5" s="237"/>
      <c r="D5" s="281" t="str">
        <f>INDEX(Table!E:E,MATCH(E5,Table!F:F,0))</f>
        <v>C</v>
      </c>
      <c r="E5" s="223" t="s">
        <v>502</v>
      </c>
      <c r="F5" s="235">
        <f t="shared" si="2"/>
        <v>-33.6</v>
      </c>
      <c r="G5" s="54">
        <f t="shared" si="3"/>
        <v>1</v>
      </c>
      <c r="H5" s="677">
        <v>-7</v>
      </c>
      <c r="I5" s="678">
        <v>0</v>
      </c>
      <c r="J5" s="225">
        <f t="shared" si="7"/>
        <v>0</v>
      </c>
      <c r="K5" s="226"/>
      <c r="L5" s="226">
        <f>INDEX(Table!M:M,MATCH(E5,Table!F:F,0))</f>
        <v>0</v>
      </c>
      <c r="M5" s="225">
        <f t="shared" si="8"/>
        <v>0</v>
      </c>
      <c r="N5" s="227">
        <v>-7</v>
      </c>
      <c r="O5" s="228">
        <v>0</v>
      </c>
      <c r="P5" s="229"/>
      <c r="Q5" s="230">
        <v>-7</v>
      </c>
      <c r="R5" s="231">
        <v>0</v>
      </c>
      <c r="S5" s="232"/>
      <c r="T5" s="227">
        <v>-7</v>
      </c>
      <c r="U5" s="233">
        <v>0</v>
      </c>
      <c r="V5" s="229"/>
      <c r="W5" s="230">
        <v>-5.6</v>
      </c>
      <c r="X5" s="231">
        <v>1</v>
      </c>
      <c r="Y5" s="232"/>
      <c r="Z5" s="227">
        <v>-7</v>
      </c>
      <c r="AA5" s="233">
        <v>0</v>
      </c>
      <c r="AB5" s="229"/>
      <c r="AC5" s="230"/>
      <c r="AD5" s="231"/>
      <c r="AE5" s="232"/>
      <c r="AF5" s="227"/>
      <c r="AG5" s="233"/>
      <c r="AH5" s="229"/>
      <c r="AI5" s="230"/>
      <c r="AJ5" s="231"/>
      <c r="AK5" s="232"/>
      <c r="AL5" s="227"/>
      <c r="AM5" s="233"/>
      <c r="AN5" s="229"/>
      <c r="AO5" s="230"/>
      <c r="AP5" s="231"/>
      <c r="AQ5" s="232"/>
      <c r="AR5" s="227"/>
      <c r="AS5" s="233"/>
      <c r="AT5" s="229"/>
      <c r="AU5" s="230"/>
      <c r="AV5" s="231"/>
      <c r="AW5" s="232"/>
      <c r="AX5" s="227"/>
      <c r="AY5" s="233"/>
      <c r="AZ5" s="229"/>
      <c r="BA5" s="230"/>
      <c r="BB5" s="231"/>
      <c r="BC5" s="232"/>
      <c r="BD5" s="227"/>
      <c r="BE5" s="233"/>
      <c r="BF5" s="229"/>
      <c r="BG5" s="230"/>
      <c r="BH5" s="234"/>
      <c r="BI5" s="232"/>
      <c r="BJ5" s="227"/>
      <c r="BK5" s="233"/>
      <c r="BL5" s="229"/>
      <c r="BM5" s="230"/>
      <c r="BN5" s="234"/>
      <c r="BO5" s="232"/>
      <c r="BP5" s="227"/>
      <c r="BQ5" s="233"/>
      <c r="BR5" s="229"/>
      <c r="BS5" s="230"/>
      <c r="BT5" s="231"/>
      <c r="BU5" s="232"/>
      <c r="BV5" s="230">
        <f t="shared" si="4"/>
        <v>-33.6</v>
      </c>
      <c r="BW5" s="231">
        <f t="shared" si="5"/>
        <v>1</v>
      </c>
      <c r="BX5" s="232">
        <f t="shared" si="6"/>
        <v>0</v>
      </c>
      <c r="BY5" s="48"/>
      <c r="DX5" s="49"/>
      <c r="DY5" s="49"/>
      <c r="EF5" s="46"/>
      <c r="EG5" s="46"/>
    </row>
    <row r="6" spans="1:137">
      <c r="A6" s="237">
        <f t="shared" si="0"/>
        <v>36</v>
      </c>
      <c r="B6" s="237">
        <f t="shared" si="1"/>
        <v>23</v>
      </c>
      <c r="C6" s="237"/>
      <c r="D6" s="281" t="str">
        <f>INDEX(Table!E:E,MATCH(E6,Table!F:F,0))</f>
        <v>B</v>
      </c>
      <c r="E6" s="223" t="s">
        <v>300</v>
      </c>
      <c r="F6" s="235">
        <f t="shared" si="2"/>
        <v>-21.873015873015873</v>
      </c>
      <c r="G6" s="54">
        <f t="shared" si="3"/>
        <v>5</v>
      </c>
      <c r="H6" s="677">
        <v>-3.8</v>
      </c>
      <c r="I6" s="678">
        <v>1</v>
      </c>
      <c r="J6" s="225">
        <f t="shared" si="7"/>
        <v>0</v>
      </c>
      <c r="K6" s="226"/>
      <c r="L6" s="226">
        <f>INDEX(Table!M:M,MATCH(E6,Table!F:F,0))</f>
        <v>0</v>
      </c>
      <c r="M6" s="225">
        <f t="shared" si="8"/>
        <v>0</v>
      </c>
      <c r="N6" s="227">
        <v>-7</v>
      </c>
      <c r="O6" s="228">
        <v>0</v>
      </c>
      <c r="P6" s="229"/>
      <c r="Q6" s="230">
        <v>-1.6444444444444439</v>
      </c>
      <c r="R6" s="231">
        <v>2</v>
      </c>
      <c r="S6" s="232"/>
      <c r="T6" s="227">
        <v>-5.4285714285714288</v>
      </c>
      <c r="U6" s="233">
        <v>1</v>
      </c>
      <c r="V6" s="229"/>
      <c r="W6" s="230">
        <v>-4</v>
      </c>
      <c r="X6" s="231">
        <v>1</v>
      </c>
      <c r="Y6" s="232"/>
      <c r="Z6" s="227">
        <v>-3.8</v>
      </c>
      <c r="AA6" s="233">
        <v>1</v>
      </c>
      <c r="AB6" s="229"/>
      <c r="AC6" s="230"/>
      <c r="AD6" s="231"/>
      <c r="AE6" s="232"/>
      <c r="AF6" s="227"/>
      <c r="AG6" s="233"/>
      <c r="AH6" s="229"/>
      <c r="AI6" s="230"/>
      <c r="AJ6" s="231"/>
      <c r="AK6" s="232"/>
      <c r="AL6" s="227"/>
      <c r="AM6" s="233"/>
      <c r="AN6" s="229"/>
      <c r="AO6" s="230"/>
      <c r="AP6" s="231"/>
      <c r="AQ6" s="232"/>
      <c r="AR6" s="227"/>
      <c r="AS6" s="233"/>
      <c r="AT6" s="229"/>
      <c r="AU6" s="230"/>
      <c r="AV6" s="231"/>
      <c r="AW6" s="232"/>
      <c r="AX6" s="227"/>
      <c r="AY6" s="233"/>
      <c r="AZ6" s="229"/>
      <c r="BA6" s="230"/>
      <c r="BB6" s="231"/>
      <c r="BC6" s="232"/>
      <c r="BD6" s="227"/>
      <c r="BE6" s="233"/>
      <c r="BF6" s="229"/>
      <c r="BG6" s="230"/>
      <c r="BH6" s="234"/>
      <c r="BI6" s="232"/>
      <c r="BJ6" s="227"/>
      <c r="BK6" s="233"/>
      <c r="BL6" s="229"/>
      <c r="BM6" s="230"/>
      <c r="BN6" s="234"/>
      <c r="BO6" s="232"/>
      <c r="BP6" s="227"/>
      <c r="BQ6" s="233"/>
      <c r="BR6" s="229"/>
      <c r="BS6" s="230"/>
      <c r="BT6" s="231"/>
      <c r="BU6" s="232"/>
      <c r="BV6" s="230">
        <f t="shared" si="4"/>
        <v>-21.873015873015873</v>
      </c>
      <c r="BW6" s="231">
        <f t="shared" si="5"/>
        <v>5</v>
      </c>
      <c r="BX6" s="232">
        <f t="shared" si="6"/>
        <v>0</v>
      </c>
      <c r="BY6" s="48"/>
      <c r="DX6" s="49"/>
      <c r="DY6" s="49"/>
      <c r="EF6" s="46"/>
      <c r="EG6" s="46"/>
    </row>
    <row r="7" spans="1:137">
      <c r="A7" s="237">
        <f t="shared" si="0"/>
        <v>7</v>
      </c>
      <c r="B7" s="237">
        <f t="shared" si="1"/>
        <v>2</v>
      </c>
      <c r="C7" s="237"/>
      <c r="D7" s="281" t="str">
        <f>INDEX(Table!E:E,MATCH(E7,Table!F:F,0))</f>
        <v>C</v>
      </c>
      <c r="E7" s="223" t="s">
        <v>276</v>
      </c>
      <c r="F7" s="235">
        <f t="shared" si="2"/>
        <v>0.40636363636363626</v>
      </c>
      <c r="G7" s="54">
        <f t="shared" si="3"/>
        <v>5</v>
      </c>
      <c r="H7" s="677">
        <v>23.156363636363636</v>
      </c>
      <c r="I7" s="678">
        <v>3</v>
      </c>
      <c r="J7" s="225">
        <f t="shared" si="7"/>
        <v>5</v>
      </c>
      <c r="K7" s="226"/>
      <c r="L7" s="226">
        <f>INDEX(Table!M:M,MATCH(E7,Table!F:F,0))</f>
        <v>9.99</v>
      </c>
      <c r="M7" s="225">
        <f t="shared" si="8"/>
        <v>14.99</v>
      </c>
      <c r="N7" s="227">
        <v>-3.9</v>
      </c>
      <c r="O7" s="228">
        <v>1</v>
      </c>
      <c r="P7" s="229"/>
      <c r="Q7" s="230">
        <v>-7</v>
      </c>
      <c r="R7" s="231">
        <v>0</v>
      </c>
      <c r="S7" s="232"/>
      <c r="T7" s="227">
        <v>-7</v>
      </c>
      <c r="U7" s="233">
        <v>0</v>
      </c>
      <c r="V7" s="229"/>
      <c r="W7" s="230">
        <v>-4.8499999999999996</v>
      </c>
      <c r="X7" s="231">
        <v>1</v>
      </c>
      <c r="Y7" s="232"/>
      <c r="Z7" s="227">
        <v>23.156363636363636</v>
      </c>
      <c r="AA7" s="233">
        <v>3</v>
      </c>
      <c r="AB7" s="229">
        <v>5</v>
      </c>
      <c r="AC7" s="230"/>
      <c r="AD7" s="231"/>
      <c r="AE7" s="232"/>
      <c r="AF7" s="227"/>
      <c r="AG7" s="233"/>
      <c r="AH7" s="229"/>
      <c r="AI7" s="230"/>
      <c r="AJ7" s="231"/>
      <c r="AK7" s="232"/>
      <c r="AL7" s="227"/>
      <c r="AM7" s="233"/>
      <c r="AN7" s="229"/>
      <c r="AO7" s="230"/>
      <c r="AP7" s="231"/>
      <c r="AQ7" s="232"/>
      <c r="AR7" s="227"/>
      <c r="AS7" s="233"/>
      <c r="AT7" s="229"/>
      <c r="AU7" s="230"/>
      <c r="AV7" s="231"/>
      <c r="AW7" s="232"/>
      <c r="AX7" s="227"/>
      <c r="AY7" s="233"/>
      <c r="AZ7" s="229"/>
      <c r="BA7" s="230"/>
      <c r="BB7" s="231"/>
      <c r="BC7" s="232"/>
      <c r="BD7" s="227"/>
      <c r="BE7" s="233"/>
      <c r="BF7" s="229"/>
      <c r="BG7" s="230"/>
      <c r="BH7" s="234"/>
      <c r="BI7" s="232"/>
      <c r="BJ7" s="227"/>
      <c r="BK7" s="233"/>
      <c r="BL7" s="229"/>
      <c r="BM7" s="230"/>
      <c r="BN7" s="234"/>
      <c r="BO7" s="232"/>
      <c r="BP7" s="227"/>
      <c r="BQ7" s="233"/>
      <c r="BR7" s="229"/>
      <c r="BS7" s="230"/>
      <c r="BT7" s="231"/>
      <c r="BU7" s="232"/>
      <c r="BV7" s="230">
        <f t="shared" si="4"/>
        <v>0.40636363636363493</v>
      </c>
      <c r="BW7" s="231">
        <f t="shared" si="5"/>
        <v>5</v>
      </c>
      <c r="BX7" s="232">
        <f t="shared" si="6"/>
        <v>5</v>
      </c>
      <c r="BY7" s="48"/>
      <c r="DX7" s="49"/>
      <c r="DY7" s="49"/>
      <c r="EF7" s="46"/>
      <c r="EG7" s="46"/>
    </row>
    <row r="8" spans="1:137">
      <c r="A8" s="237">
        <f t="shared" si="0"/>
        <v>20</v>
      </c>
      <c r="B8" s="237">
        <f t="shared" si="1"/>
        <v>21</v>
      </c>
      <c r="C8" s="237"/>
      <c r="D8" s="281" t="str">
        <f>INDEX(Table!E:E,MATCH(E8,Table!F:F,0))</f>
        <v>B</v>
      </c>
      <c r="E8" s="223" t="s">
        <v>270</v>
      </c>
      <c r="F8" s="235">
        <f t="shared" si="2"/>
        <v>-11.451719576719578</v>
      </c>
      <c r="G8" s="54">
        <f t="shared" si="3"/>
        <v>8</v>
      </c>
      <c r="H8" s="677">
        <v>-1.4814814814814827</v>
      </c>
      <c r="I8" s="678">
        <v>2</v>
      </c>
      <c r="J8" s="225">
        <f t="shared" si="7"/>
        <v>0</v>
      </c>
      <c r="K8" s="226"/>
      <c r="L8" s="226">
        <f>INDEX(Table!M:M,MATCH(E8,Table!F:F,0))</f>
        <v>3.8849999999999998</v>
      </c>
      <c r="M8" s="225">
        <f t="shared" si="8"/>
        <v>3.8849999999999998</v>
      </c>
      <c r="N8" s="227">
        <v>-5.4285714285714288</v>
      </c>
      <c r="O8" s="228">
        <v>1</v>
      </c>
      <c r="P8" s="229"/>
      <c r="Q8" s="230">
        <v>-5.1666666666666661</v>
      </c>
      <c r="R8" s="231">
        <v>1</v>
      </c>
      <c r="S8" s="232"/>
      <c r="T8" s="227">
        <v>0.99999999999999911</v>
      </c>
      <c r="U8" s="233">
        <v>2</v>
      </c>
      <c r="V8" s="229"/>
      <c r="W8" s="230">
        <v>-0.375</v>
      </c>
      <c r="X8" s="231">
        <v>2</v>
      </c>
      <c r="Y8" s="232"/>
      <c r="Z8" s="227">
        <v>-1.4814814814814827</v>
      </c>
      <c r="AA8" s="233">
        <v>2</v>
      </c>
      <c r="AB8" s="229"/>
      <c r="AC8" s="230"/>
      <c r="AD8" s="231"/>
      <c r="AE8" s="232"/>
      <c r="AF8" s="227"/>
      <c r="AG8" s="233"/>
      <c r="AH8" s="229"/>
      <c r="AI8" s="230"/>
      <c r="AJ8" s="231"/>
      <c r="AK8" s="232"/>
      <c r="AL8" s="227"/>
      <c r="AM8" s="233"/>
      <c r="AN8" s="229"/>
      <c r="AO8" s="230"/>
      <c r="AP8" s="231"/>
      <c r="AQ8" s="232"/>
      <c r="AR8" s="227"/>
      <c r="AS8" s="233"/>
      <c r="AT8" s="229"/>
      <c r="AU8" s="230"/>
      <c r="AV8" s="231"/>
      <c r="AW8" s="232"/>
      <c r="AX8" s="227"/>
      <c r="AY8" s="233"/>
      <c r="AZ8" s="229"/>
      <c r="BA8" s="230"/>
      <c r="BB8" s="231"/>
      <c r="BC8" s="232"/>
      <c r="BD8" s="227"/>
      <c r="BE8" s="233"/>
      <c r="BF8" s="229"/>
      <c r="BG8" s="230"/>
      <c r="BH8" s="234"/>
      <c r="BI8" s="232"/>
      <c r="BJ8" s="227"/>
      <c r="BK8" s="233"/>
      <c r="BL8" s="229"/>
      <c r="BM8" s="230"/>
      <c r="BN8" s="234"/>
      <c r="BO8" s="232"/>
      <c r="BP8" s="227"/>
      <c r="BQ8" s="233"/>
      <c r="BR8" s="229"/>
      <c r="BS8" s="230"/>
      <c r="BT8" s="231"/>
      <c r="BU8" s="232"/>
      <c r="BV8" s="230">
        <f t="shared" si="4"/>
        <v>-11.451719576719579</v>
      </c>
      <c r="BW8" s="231">
        <f t="shared" si="5"/>
        <v>8</v>
      </c>
      <c r="BX8" s="232">
        <f t="shared" si="6"/>
        <v>0</v>
      </c>
      <c r="BY8" s="48"/>
      <c r="DX8" s="49"/>
      <c r="DY8" s="49"/>
      <c r="EF8" s="46"/>
      <c r="EG8" s="46"/>
    </row>
    <row r="9" spans="1:137">
      <c r="A9" s="237">
        <f t="shared" si="0"/>
        <v>2</v>
      </c>
      <c r="B9" s="237">
        <f t="shared" si="1"/>
        <v>9</v>
      </c>
      <c r="C9" s="237"/>
      <c r="D9" s="281" t="str">
        <f>INDEX(Table!E:E,MATCH(E9,Table!F:F,0))</f>
        <v>B</v>
      </c>
      <c r="E9" s="223" t="s">
        <v>348</v>
      </c>
      <c r="F9" s="235">
        <f t="shared" si="2"/>
        <v>20.70218181818182</v>
      </c>
      <c r="G9" s="54">
        <f t="shared" si="3"/>
        <v>6</v>
      </c>
      <c r="H9" s="677">
        <v>4.2181818181818187</v>
      </c>
      <c r="I9" s="678">
        <v>2</v>
      </c>
      <c r="J9" s="225">
        <f t="shared" si="7"/>
        <v>5</v>
      </c>
      <c r="K9" s="226"/>
      <c r="L9" s="226">
        <f>INDEX(Table!M:M,MATCH(E9,Table!F:F,0))</f>
        <v>45.325000000000003</v>
      </c>
      <c r="M9" s="225">
        <f t="shared" si="8"/>
        <v>50.325000000000003</v>
      </c>
      <c r="N9" s="227">
        <v>-3.5</v>
      </c>
      <c r="O9" s="228">
        <v>1</v>
      </c>
      <c r="P9" s="229"/>
      <c r="Q9" s="230">
        <v>-7</v>
      </c>
      <c r="R9" s="231">
        <v>0</v>
      </c>
      <c r="S9" s="232"/>
      <c r="T9" s="227">
        <v>-7</v>
      </c>
      <c r="U9" s="233">
        <v>0</v>
      </c>
      <c r="V9" s="229"/>
      <c r="W9" s="230">
        <v>33.984000000000002</v>
      </c>
      <c r="X9" s="231">
        <v>3</v>
      </c>
      <c r="Y9" s="232">
        <v>5</v>
      </c>
      <c r="Z9" s="227">
        <v>4.2181818181818187</v>
      </c>
      <c r="AA9" s="233">
        <v>2</v>
      </c>
      <c r="AB9" s="229"/>
      <c r="AC9" s="230"/>
      <c r="AD9" s="231"/>
      <c r="AE9" s="232"/>
      <c r="AF9" s="227"/>
      <c r="AG9" s="233"/>
      <c r="AH9" s="229"/>
      <c r="AI9" s="230"/>
      <c r="AJ9" s="231"/>
      <c r="AK9" s="232"/>
      <c r="AL9" s="227"/>
      <c r="AM9" s="233"/>
      <c r="AN9" s="229"/>
      <c r="AO9" s="230"/>
      <c r="AP9" s="231"/>
      <c r="AQ9" s="232"/>
      <c r="AR9" s="227"/>
      <c r="AS9" s="233"/>
      <c r="AT9" s="229"/>
      <c r="AU9" s="230"/>
      <c r="AV9" s="231"/>
      <c r="AW9" s="232"/>
      <c r="AX9" s="227"/>
      <c r="AY9" s="233"/>
      <c r="AZ9" s="229"/>
      <c r="BA9" s="230"/>
      <c r="BB9" s="231"/>
      <c r="BC9" s="232"/>
      <c r="BD9" s="227"/>
      <c r="BE9" s="233"/>
      <c r="BF9" s="229"/>
      <c r="BG9" s="230"/>
      <c r="BH9" s="234"/>
      <c r="BI9" s="232"/>
      <c r="BJ9" s="227"/>
      <c r="BK9" s="233"/>
      <c r="BL9" s="229"/>
      <c r="BM9" s="230"/>
      <c r="BN9" s="234"/>
      <c r="BO9" s="232"/>
      <c r="BP9" s="227"/>
      <c r="BQ9" s="233"/>
      <c r="BR9" s="229"/>
      <c r="BS9" s="230"/>
      <c r="BT9" s="231"/>
      <c r="BU9" s="232"/>
      <c r="BV9" s="230">
        <f t="shared" si="4"/>
        <v>20.70218181818182</v>
      </c>
      <c r="BW9" s="231">
        <f t="shared" si="5"/>
        <v>6</v>
      </c>
      <c r="BX9" s="232">
        <f t="shared" si="6"/>
        <v>5</v>
      </c>
      <c r="BY9" s="48"/>
      <c r="DX9" s="49"/>
      <c r="DY9" s="49"/>
      <c r="EF9" s="46"/>
      <c r="EG9" s="46"/>
    </row>
    <row r="10" spans="1:137">
      <c r="A10" s="237">
        <f t="shared" si="0"/>
        <v>28</v>
      </c>
      <c r="B10" s="237">
        <f t="shared" si="1"/>
        <v>15</v>
      </c>
      <c r="C10" s="237"/>
      <c r="D10" s="281" t="str">
        <f>INDEX(Table!E:E,MATCH(E10,Table!F:F,0))</f>
        <v>B</v>
      </c>
      <c r="E10" s="223" t="s">
        <v>486</v>
      </c>
      <c r="F10" s="235">
        <f t="shared" si="2"/>
        <v>-18.581818181818182</v>
      </c>
      <c r="G10" s="54">
        <f t="shared" si="3"/>
        <v>4</v>
      </c>
      <c r="H10" s="677">
        <v>1.0181818181818194</v>
      </c>
      <c r="I10" s="678">
        <v>2</v>
      </c>
      <c r="J10" s="225">
        <f t="shared" si="7"/>
        <v>0</v>
      </c>
      <c r="K10" s="226"/>
      <c r="L10" s="226">
        <f>INDEX(Table!M:M,MATCH(E10,Table!F:F,0))</f>
        <v>0</v>
      </c>
      <c r="M10" s="225">
        <f t="shared" si="8"/>
        <v>0</v>
      </c>
      <c r="N10" s="227">
        <v>-7</v>
      </c>
      <c r="O10" s="228">
        <v>0</v>
      </c>
      <c r="P10" s="229"/>
      <c r="Q10" s="230">
        <v>-7</v>
      </c>
      <c r="R10" s="231">
        <v>0</v>
      </c>
      <c r="S10" s="232"/>
      <c r="T10" s="227">
        <v>1.4000000000000004</v>
      </c>
      <c r="U10" s="233">
        <v>2</v>
      </c>
      <c r="V10" s="229"/>
      <c r="W10" s="230">
        <v>-7</v>
      </c>
      <c r="X10" s="231">
        <v>0</v>
      </c>
      <c r="Y10" s="232"/>
      <c r="Z10" s="227">
        <v>1.0181818181818194</v>
      </c>
      <c r="AA10" s="233">
        <v>2</v>
      </c>
      <c r="AB10" s="229"/>
      <c r="AC10" s="230"/>
      <c r="AD10" s="231"/>
      <c r="AE10" s="232"/>
      <c r="AF10" s="227"/>
      <c r="AG10" s="233"/>
      <c r="AH10" s="229"/>
      <c r="AI10" s="230"/>
      <c r="AJ10" s="231"/>
      <c r="AK10" s="232"/>
      <c r="AL10" s="227"/>
      <c r="AM10" s="233"/>
      <c r="AN10" s="229"/>
      <c r="AO10" s="230"/>
      <c r="AP10" s="231"/>
      <c r="AQ10" s="232"/>
      <c r="AR10" s="227"/>
      <c r="AS10" s="233"/>
      <c r="AT10" s="229"/>
      <c r="AU10" s="230"/>
      <c r="AV10" s="231"/>
      <c r="AW10" s="232"/>
      <c r="AX10" s="227"/>
      <c r="AY10" s="233"/>
      <c r="AZ10" s="229"/>
      <c r="BA10" s="230"/>
      <c r="BB10" s="231"/>
      <c r="BC10" s="232"/>
      <c r="BD10" s="227"/>
      <c r="BE10" s="233"/>
      <c r="BF10" s="229"/>
      <c r="BG10" s="230"/>
      <c r="BH10" s="234"/>
      <c r="BI10" s="232"/>
      <c r="BJ10" s="227"/>
      <c r="BK10" s="233"/>
      <c r="BL10" s="229"/>
      <c r="BM10" s="230"/>
      <c r="BN10" s="234"/>
      <c r="BO10" s="232"/>
      <c r="BP10" s="227"/>
      <c r="BQ10" s="233"/>
      <c r="BR10" s="229"/>
      <c r="BS10" s="230"/>
      <c r="BT10" s="231"/>
      <c r="BU10" s="232"/>
      <c r="BV10" s="230">
        <f t="shared" si="4"/>
        <v>-18.581818181818178</v>
      </c>
      <c r="BW10" s="231">
        <f t="shared" si="5"/>
        <v>4</v>
      </c>
      <c r="BX10" s="232">
        <f t="shared" si="6"/>
        <v>0</v>
      </c>
      <c r="BY10" s="48"/>
      <c r="DX10" s="49"/>
      <c r="DY10" s="49"/>
      <c r="EF10" s="46"/>
      <c r="EG10" s="46"/>
    </row>
    <row r="11" spans="1:137">
      <c r="A11" s="237">
        <f t="shared" si="0"/>
        <v>29</v>
      </c>
      <c r="B11" s="237">
        <f t="shared" si="1"/>
        <v>7</v>
      </c>
      <c r="C11" s="237"/>
      <c r="D11" s="281" t="str">
        <f>INDEX(Table!E:E,MATCH(E11,Table!F:F,0))</f>
        <v>C</v>
      </c>
      <c r="E11" s="223" t="s">
        <v>293</v>
      </c>
      <c r="F11" s="235">
        <f t="shared" si="2"/>
        <v>-18.75</v>
      </c>
      <c r="G11" s="54">
        <f t="shared" si="3"/>
        <v>3</v>
      </c>
      <c r="H11" s="677">
        <v>7.0500000000000007</v>
      </c>
      <c r="I11" s="678">
        <v>2</v>
      </c>
      <c r="J11" s="225">
        <f t="shared" si="7"/>
        <v>0</v>
      </c>
      <c r="K11" s="226"/>
      <c r="L11" s="226">
        <f>INDEX(Table!M:M,MATCH(E11,Table!F:F,0))</f>
        <v>0</v>
      </c>
      <c r="M11" s="225">
        <f t="shared" si="8"/>
        <v>0</v>
      </c>
      <c r="N11" s="227">
        <v>-7</v>
      </c>
      <c r="O11" s="228">
        <v>0</v>
      </c>
      <c r="P11" s="229"/>
      <c r="Q11" s="230">
        <v>-7</v>
      </c>
      <c r="R11" s="231">
        <v>0</v>
      </c>
      <c r="S11" s="232"/>
      <c r="T11" s="227">
        <v>-4.8</v>
      </c>
      <c r="U11" s="233">
        <v>1</v>
      </c>
      <c r="V11" s="229"/>
      <c r="W11" s="230">
        <v>-7</v>
      </c>
      <c r="X11" s="231">
        <v>0</v>
      </c>
      <c r="Y11" s="232"/>
      <c r="Z11" s="227">
        <v>7.0500000000000007</v>
      </c>
      <c r="AA11" s="233">
        <v>2</v>
      </c>
      <c r="AB11" s="229"/>
      <c r="AC11" s="230"/>
      <c r="AD11" s="231"/>
      <c r="AE11" s="232"/>
      <c r="AF11" s="227"/>
      <c r="AG11" s="233"/>
      <c r="AH11" s="229"/>
      <c r="AI11" s="230"/>
      <c r="AJ11" s="231"/>
      <c r="AK11" s="232"/>
      <c r="AL11" s="227"/>
      <c r="AM11" s="233"/>
      <c r="AN11" s="229"/>
      <c r="AO11" s="230"/>
      <c r="AP11" s="231"/>
      <c r="AQ11" s="232"/>
      <c r="AR11" s="227"/>
      <c r="AS11" s="233"/>
      <c r="AT11" s="229"/>
      <c r="AU11" s="230"/>
      <c r="AV11" s="231"/>
      <c r="AW11" s="232"/>
      <c r="AX11" s="227"/>
      <c r="AY11" s="233"/>
      <c r="AZ11" s="229"/>
      <c r="BA11" s="230"/>
      <c r="BB11" s="231"/>
      <c r="BC11" s="232"/>
      <c r="BD11" s="227"/>
      <c r="BE11" s="233"/>
      <c r="BF11" s="229"/>
      <c r="BG11" s="230"/>
      <c r="BH11" s="234"/>
      <c r="BI11" s="232"/>
      <c r="BJ11" s="227"/>
      <c r="BK11" s="233"/>
      <c r="BL11" s="229"/>
      <c r="BM11" s="230"/>
      <c r="BN11" s="234"/>
      <c r="BO11" s="232"/>
      <c r="BP11" s="227"/>
      <c r="BQ11" s="233"/>
      <c r="BR11" s="229"/>
      <c r="BS11" s="230"/>
      <c r="BT11" s="231"/>
      <c r="BU11" s="232"/>
      <c r="BV11" s="230">
        <f t="shared" si="4"/>
        <v>-18.75</v>
      </c>
      <c r="BW11" s="231">
        <f t="shared" si="5"/>
        <v>3</v>
      </c>
      <c r="BX11" s="232">
        <f t="shared" si="6"/>
        <v>0</v>
      </c>
      <c r="BY11" s="48"/>
      <c r="DX11" s="49"/>
      <c r="DY11" s="49"/>
      <c r="EF11" s="46"/>
      <c r="EG11" s="46"/>
    </row>
    <row r="12" spans="1:137">
      <c r="A12" s="237">
        <f t="shared" si="0"/>
        <v>4</v>
      </c>
      <c r="B12" s="237">
        <f t="shared" si="1"/>
        <v>1</v>
      </c>
      <c r="C12" s="237"/>
      <c r="D12" s="281" t="str">
        <f>INDEX(Table!E:E,MATCH(E12,Table!F:F,0))</f>
        <v>C</v>
      </c>
      <c r="E12" s="223" t="s">
        <v>297</v>
      </c>
      <c r="F12" s="235">
        <f t="shared" si="2"/>
        <v>14.516666666666666</v>
      </c>
      <c r="G12" s="54">
        <f t="shared" si="3"/>
        <v>8</v>
      </c>
      <c r="H12" s="677">
        <v>24.64</v>
      </c>
      <c r="I12" s="678">
        <v>3</v>
      </c>
      <c r="J12" s="225">
        <f t="shared" si="7"/>
        <v>15</v>
      </c>
      <c r="K12" s="226"/>
      <c r="L12" s="226">
        <f>INDEX(Table!M:M,MATCH(E12,Table!F:F,0))</f>
        <v>19.425000000000001</v>
      </c>
      <c r="M12" s="225">
        <f t="shared" si="8"/>
        <v>34.424999999999997</v>
      </c>
      <c r="N12" s="227">
        <v>-4.95</v>
      </c>
      <c r="O12" s="228">
        <v>1</v>
      </c>
      <c r="P12" s="229"/>
      <c r="Q12" s="230">
        <v>2.3599999999999994</v>
      </c>
      <c r="R12" s="231">
        <v>2</v>
      </c>
      <c r="S12" s="232">
        <v>5</v>
      </c>
      <c r="T12" s="227">
        <v>-0.53333333333333321</v>
      </c>
      <c r="U12" s="233">
        <v>2</v>
      </c>
      <c r="V12" s="229"/>
      <c r="W12" s="230">
        <v>-7</v>
      </c>
      <c r="X12" s="231">
        <v>0</v>
      </c>
      <c r="Y12" s="232"/>
      <c r="Z12" s="227">
        <v>24.64</v>
      </c>
      <c r="AA12" s="233">
        <v>3</v>
      </c>
      <c r="AB12" s="229">
        <v>10</v>
      </c>
      <c r="AC12" s="230"/>
      <c r="AD12" s="231"/>
      <c r="AE12" s="232"/>
      <c r="AF12" s="227"/>
      <c r="AG12" s="233"/>
      <c r="AH12" s="229"/>
      <c r="AI12" s="230"/>
      <c r="AJ12" s="231"/>
      <c r="AK12" s="232"/>
      <c r="AL12" s="227"/>
      <c r="AM12" s="233"/>
      <c r="AN12" s="229"/>
      <c r="AO12" s="230"/>
      <c r="AP12" s="231"/>
      <c r="AQ12" s="232"/>
      <c r="AR12" s="227"/>
      <c r="AS12" s="233"/>
      <c r="AT12" s="229"/>
      <c r="AU12" s="230"/>
      <c r="AV12" s="231"/>
      <c r="AW12" s="232"/>
      <c r="AX12" s="227"/>
      <c r="AY12" s="233"/>
      <c r="AZ12" s="229"/>
      <c r="BA12" s="230"/>
      <c r="BB12" s="231"/>
      <c r="BC12" s="232"/>
      <c r="BD12" s="227"/>
      <c r="BE12" s="233"/>
      <c r="BF12" s="229"/>
      <c r="BG12" s="230"/>
      <c r="BH12" s="234"/>
      <c r="BI12" s="232"/>
      <c r="BJ12" s="227"/>
      <c r="BK12" s="233"/>
      <c r="BL12" s="229"/>
      <c r="BM12" s="230"/>
      <c r="BN12" s="234"/>
      <c r="BO12" s="232"/>
      <c r="BP12" s="227"/>
      <c r="BQ12" s="233"/>
      <c r="BR12" s="229"/>
      <c r="BS12" s="230"/>
      <c r="BT12" s="231"/>
      <c r="BU12" s="232"/>
      <c r="BV12" s="230">
        <f t="shared" si="4"/>
        <v>14.516666666666669</v>
      </c>
      <c r="BW12" s="231">
        <f t="shared" si="5"/>
        <v>8</v>
      </c>
      <c r="BX12" s="232">
        <f t="shared" si="6"/>
        <v>15</v>
      </c>
      <c r="BY12" s="48"/>
      <c r="DX12" s="49"/>
      <c r="DY12" s="49"/>
      <c r="EF12" s="46"/>
      <c r="EG12" s="46"/>
    </row>
    <row r="13" spans="1:137">
      <c r="A13" s="237">
        <f t="shared" si="0"/>
        <v>35</v>
      </c>
      <c r="B13" s="237">
        <f t="shared" si="1"/>
        <v>13</v>
      </c>
      <c r="C13" s="237"/>
      <c r="D13" s="281" t="str">
        <f>INDEX(Table!E:E,MATCH(E13,Table!F:F,0))</f>
        <v>A</v>
      </c>
      <c r="E13" s="223" t="s">
        <v>292</v>
      </c>
      <c r="F13" s="235">
        <f t="shared" si="2"/>
        <v>-21.733333333333334</v>
      </c>
      <c r="G13" s="54">
        <f t="shared" si="3"/>
        <v>4</v>
      </c>
      <c r="H13" s="677">
        <v>2.2666666666666675</v>
      </c>
      <c r="I13" s="678">
        <v>2</v>
      </c>
      <c r="J13" s="225">
        <f t="shared" si="7"/>
        <v>0</v>
      </c>
      <c r="K13" s="226"/>
      <c r="L13" s="226">
        <f>INDEX(Table!M:M,MATCH(E13,Table!F:F,0))</f>
        <v>0</v>
      </c>
      <c r="M13" s="225">
        <f t="shared" si="8"/>
        <v>0</v>
      </c>
      <c r="N13" s="227">
        <v>-7</v>
      </c>
      <c r="O13" s="228">
        <v>0</v>
      </c>
      <c r="P13" s="229"/>
      <c r="Q13" s="230">
        <v>-5.2</v>
      </c>
      <c r="R13" s="231">
        <v>1</v>
      </c>
      <c r="S13" s="232"/>
      <c r="T13" s="227">
        <v>-4.8</v>
      </c>
      <c r="U13" s="233">
        <v>1</v>
      </c>
      <c r="V13" s="229"/>
      <c r="W13" s="230">
        <v>-7</v>
      </c>
      <c r="X13" s="231">
        <v>0</v>
      </c>
      <c r="Y13" s="232"/>
      <c r="Z13" s="227">
        <v>2.2666666666666675</v>
      </c>
      <c r="AA13" s="233">
        <v>2</v>
      </c>
      <c r="AB13" s="229"/>
      <c r="AC13" s="230"/>
      <c r="AD13" s="231"/>
      <c r="AE13" s="232"/>
      <c r="AF13" s="227"/>
      <c r="AG13" s="233"/>
      <c r="AH13" s="229"/>
      <c r="AI13" s="230"/>
      <c r="AJ13" s="231"/>
      <c r="AK13" s="232"/>
      <c r="AL13" s="227"/>
      <c r="AM13" s="233"/>
      <c r="AN13" s="229"/>
      <c r="AO13" s="230"/>
      <c r="AP13" s="231"/>
      <c r="AQ13" s="232"/>
      <c r="AR13" s="227"/>
      <c r="AS13" s="233"/>
      <c r="AT13" s="229"/>
      <c r="AU13" s="230"/>
      <c r="AV13" s="231"/>
      <c r="AW13" s="232"/>
      <c r="AX13" s="227"/>
      <c r="AY13" s="233"/>
      <c r="AZ13" s="229"/>
      <c r="BA13" s="230"/>
      <c r="BB13" s="231"/>
      <c r="BC13" s="232"/>
      <c r="BD13" s="227"/>
      <c r="BE13" s="233"/>
      <c r="BF13" s="229"/>
      <c r="BG13" s="230"/>
      <c r="BH13" s="234"/>
      <c r="BI13" s="232"/>
      <c r="BJ13" s="227"/>
      <c r="BK13" s="233"/>
      <c r="BL13" s="229"/>
      <c r="BM13" s="230"/>
      <c r="BN13" s="234"/>
      <c r="BO13" s="232"/>
      <c r="BP13" s="227"/>
      <c r="BQ13" s="233"/>
      <c r="BR13" s="229"/>
      <c r="BS13" s="230"/>
      <c r="BT13" s="231"/>
      <c r="BU13" s="232"/>
      <c r="BV13" s="230">
        <f t="shared" si="4"/>
        <v>-21.733333333333331</v>
      </c>
      <c r="BW13" s="231">
        <f t="shared" si="5"/>
        <v>4</v>
      </c>
      <c r="BX13" s="232">
        <f t="shared" si="6"/>
        <v>0</v>
      </c>
      <c r="BY13" s="48"/>
      <c r="DX13" s="49"/>
      <c r="DY13" s="49"/>
      <c r="EF13" s="46"/>
      <c r="EG13" s="46"/>
    </row>
    <row r="14" spans="1:137">
      <c r="A14" s="237">
        <f t="shared" si="0"/>
        <v>16</v>
      </c>
      <c r="B14" s="237">
        <f t="shared" si="1"/>
        <v>26</v>
      </c>
      <c r="C14" s="237"/>
      <c r="D14" s="281" t="str">
        <f>INDEX(Table!E:E,MATCH(E14,Table!F:F,0))</f>
        <v>A</v>
      </c>
      <c r="E14" s="223" t="s">
        <v>298</v>
      </c>
      <c r="F14" s="235">
        <f t="shared" si="2"/>
        <v>-10.205</v>
      </c>
      <c r="G14" s="54">
        <f t="shared" si="3"/>
        <v>7</v>
      </c>
      <c r="H14" s="677">
        <v>-4.8499999999999996</v>
      </c>
      <c r="I14" s="678">
        <v>1</v>
      </c>
      <c r="J14" s="225">
        <f t="shared" si="7"/>
        <v>5</v>
      </c>
      <c r="K14" s="226"/>
      <c r="L14" s="226">
        <f>INDEX(Table!M:M,MATCH(E14,Table!F:F,0))</f>
        <v>5.55</v>
      </c>
      <c r="M14" s="225">
        <f t="shared" si="8"/>
        <v>10.55</v>
      </c>
      <c r="N14" s="227">
        <v>2.0649999999999995</v>
      </c>
      <c r="O14" s="228">
        <v>2</v>
      </c>
      <c r="P14" s="229">
        <v>5</v>
      </c>
      <c r="Q14" s="230">
        <v>-4.7</v>
      </c>
      <c r="R14" s="231">
        <v>1</v>
      </c>
      <c r="S14" s="232"/>
      <c r="T14" s="227">
        <v>-4.8</v>
      </c>
      <c r="U14" s="233">
        <v>1</v>
      </c>
      <c r="V14" s="229"/>
      <c r="W14" s="230">
        <v>2.08</v>
      </c>
      <c r="X14" s="231">
        <v>2</v>
      </c>
      <c r="Y14" s="232"/>
      <c r="Z14" s="227">
        <v>-4.8499999999999996</v>
      </c>
      <c r="AA14" s="233">
        <v>1</v>
      </c>
      <c r="AB14" s="229"/>
      <c r="AC14" s="230"/>
      <c r="AD14" s="231"/>
      <c r="AE14" s="232"/>
      <c r="AF14" s="227"/>
      <c r="AG14" s="233"/>
      <c r="AH14" s="229"/>
      <c r="AI14" s="230"/>
      <c r="AJ14" s="231"/>
      <c r="AK14" s="232"/>
      <c r="AL14" s="227"/>
      <c r="AM14" s="233"/>
      <c r="AN14" s="229"/>
      <c r="AO14" s="230"/>
      <c r="AP14" s="231"/>
      <c r="AQ14" s="232"/>
      <c r="AR14" s="227"/>
      <c r="AS14" s="233"/>
      <c r="AT14" s="229"/>
      <c r="AU14" s="230"/>
      <c r="AV14" s="231"/>
      <c r="AW14" s="232"/>
      <c r="AX14" s="227"/>
      <c r="AY14" s="233"/>
      <c r="AZ14" s="229"/>
      <c r="BA14" s="230"/>
      <c r="BB14" s="231"/>
      <c r="BC14" s="232"/>
      <c r="BD14" s="227"/>
      <c r="BE14" s="233"/>
      <c r="BF14" s="229"/>
      <c r="BG14" s="230"/>
      <c r="BH14" s="234"/>
      <c r="BI14" s="232"/>
      <c r="BJ14" s="227"/>
      <c r="BK14" s="233"/>
      <c r="BL14" s="229"/>
      <c r="BM14" s="230"/>
      <c r="BN14" s="234"/>
      <c r="BO14" s="232"/>
      <c r="BP14" s="227"/>
      <c r="BQ14" s="233"/>
      <c r="BR14" s="229"/>
      <c r="BS14" s="230"/>
      <c r="BT14" s="231"/>
      <c r="BU14" s="232"/>
      <c r="BV14" s="230">
        <f t="shared" si="4"/>
        <v>-10.205</v>
      </c>
      <c r="BW14" s="231">
        <f t="shared" si="5"/>
        <v>7</v>
      </c>
      <c r="BX14" s="232">
        <f t="shared" si="6"/>
        <v>5</v>
      </c>
      <c r="BY14" s="48"/>
      <c r="DX14" s="49"/>
      <c r="DY14" s="49"/>
      <c r="EF14" s="46"/>
      <c r="EG14" s="46"/>
    </row>
    <row r="15" spans="1:137">
      <c r="A15" s="237">
        <f t="shared" si="0"/>
        <v>18</v>
      </c>
      <c r="B15" s="237">
        <f t="shared" si="1"/>
        <v>3</v>
      </c>
      <c r="C15" s="237"/>
      <c r="D15" s="281" t="str">
        <f>INDEX(Table!E:E,MATCH(E15,Table!F:F,0))</f>
        <v>A</v>
      </c>
      <c r="E15" s="223" t="s">
        <v>487</v>
      </c>
      <c r="F15" s="235">
        <f t="shared" si="2"/>
        <v>-10.95</v>
      </c>
      <c r="G15" s="54">
        <f t="shared" si="3"/>
        <v>3</v>
      </c>
      <c r="H15" s="677">
        <v>15.5</v>
      </c>
      <c r="I15" s="678">
        <v>2</v>
      </c>
      <c r="J15" s="225">
        <f t="shared" si="7"/>
        <v>5</v>
      </c>
      <c r="K15" s="226"/>
      <c r="L15" s="226">
        <f>INDEX(Table!M:M,MATCH(E15,Table!F:F,0))</f>
        <v>0</v>
      </c>
      <c r="M15" s="225">
        <f t="shared" si="8"/>
        <v>5</v>
      </c>
      <c r="N15" s="227">
        <v>-7</v>
      </c>
      <c r="O15" s="228">
        <v>0</v>
      </c>
      <c r="P15" s="229"/>
      <c r="Q15" s="230">
        <v>-7</v>
      </c>
      <c r="R15" s="231">
        <v>0</v>
      </c>
      <c r="S15" s="232"/>
      <c r="T15" s="227">
        <v>-5.45</v>
      </c>
      <c r="U15" s="233">
        <v>1</v>
      </c>
      <c r="V15" s="229"/>
      <c r="W15" s="230">
        <v>-7</v>
      </c>
      <c r="X15" s="231">
        <v>0</v>
      </c>
      <c r="Y15" s="232"/>
      <c r="Z15" s="227">
        <v>15.5</v>
      </c>
      <c r="AA15" s="233">
        <v>2</v>
      </c>
      <c r="AB15" s="229">
        <v>5</v>
      </c>
      <c r="AC15" s="230"/>
      <c r="AD15" s="231"/>
      <c r="AE15" s="232"/>
      <c r="AF15" s="227"/>
      <c r="AG15" s="233"/>
      <c r="AH15" s="229"/>
      <c r="AI15" s="230"/>
      <c r="AJ15" s="231"/>
      <c r="AK15" s="232"/>
      <c r="AL15" s="227"/>
      <c r="AM15" s="233"/>
      <c r="AN15" s="229"/>
      <c r="AO15" s="230"/>
      <c r="AP15" s="231"/>
      <c r="AQ15" s="232"/>
      <c r="AR15" s="227"/>
      <c r="AS15" s="233"/>
      <c r="AT15" s="229"/>
      <c r="AU15" s="230"/>
      <c r="AV15" s="231"/>
      <c r="AW15" s="232"/>
      <c r="AX15" s="227"/>
      <c r="AY15" s="233"/>
      <c r="AZ15" s="229"/>
      <c r="BA15" s="230"/>
      <c r="BB15" s="231"/>
      <c r="BC15" s="232"/>
      <c r="BD15" s="227"/>
      <c r="BE15" s="233"/>
      <c r="BF15" s="229"/>
      <c r="BG15" s="230"/>
      <c r="BH15" s="234"/>
      <c r="BI15" s="232"/>
      <c r="BJ15" s="227"/>
      <c r="BK15" s="233"/>
      <c r="BL15" s="229"/>
      <c r="BM15" s="230"/>
      <c r="BN15" s="234"/>
      <c r="BO15" s="232"/>
      <c r="BP15" s="227"/>
      <c r="BQ15" s="233"/>
      <c r="BR15" s="229"/>
      <c r="BS15" s="230"/>
      <c r="BT15" s="231"/>
      <c r="BU15" s="232"/>
      <c r="BV15" s="230">
        <f t="shared" si="4"/>
        <v>-10.95</v>
      </c>
      <c r="BW15" s="231">
        <f t="shared" si="5"/>
        <v>3</v>
      </c>
      <c r="BX15" s="232">
        <f t="shared" si="6"/>
        <v>5</v>
      </c>
      <c r="BY15" s="48"/>
      <c r="DX15" s="49"/>
      <c r="DY15" s="49"/>
      <c r="EF15" s="46"/>
      <c r="EG15" s="46"/>
    </row>
    <row r="16" spans="1:137">
      <c r="A16" s="237">
        <f t="shared" si="0"/>
        <v>41</v>
      </c>
      <c r="B16" s="237">
        <f t="shared" si="1"/>
        <v>34</v>
      </c>
      <c r="C16" s="237"/>
      <c r="D16" s="281" t="str">
        <f>INDEX(Table!E:E,MATCH(E16,Table!F:F,0))</f>
        <v>B</v>
      </c>
      <c r="E16" s="223" t="s">
        <v>353</v>
      </c>
      <c r="F16" s="235">
        <f t="shared" si="2"/>
        <v>-26.2</v>
      </c>
      <c r="G16" s="54">
        <f t="shared" si="3"/>
        <v>3</v>
      </c>
      <c r="H16" s="677">
        <v>-7</v>
      </c>
      <c r="I16" s="678">
        <v>0</v>
      </c>
      <c r="J16" s="225">
        <f t="shared" si="7"/>
        <v>0</v>
      </c>
      <c r="K16" s="226"/>
      <c r="L16" s="226">
        <f>INDEX(Table!M:M,MATCH(E16,Table!F:F,0))</f>
        <v>0</v>
      </c>
      <c r="M16" s="225">
        <f t="shared" si="8"/>
        <v>0</v>
      </c>
      <c r="N16" s="227">
        <v>-7</v>
      </c>
      <c r="O16" s="228">
        <v>0</v>
      </c>
      <c r="P16" s="229"/>
      <c r="Q16" s="230">
        <v>-5.25</v>
      </c>
      <c r="R16" s="231">
        <v>1</v>
      </c>
      <c r="S16" s="232"/>
      <c r="T16" s="227">
        <v>-2.2000000000000002</v>
      </c>
      <c r="U16" s="233">
        <v>1</v>
      </c>
      <c r="V16" s="229"/>
      <c r="W16" s="230">
        <v>-4.75</v>
      </c>
      <c r="X16" s="231">
        <v>1</v>
      </c>
      <c r="Y16" s="232"/>
      <c r="Z16" s="227">
        <v>-7</v>
      </c>
      <c r="AA16" s="233">
        <v>0</v>
      </c>
      <c r="AB16" s="229"/>
      <c r="AC16" s="230"/>
      <c r="AD16" s="231"/>
      <c r="AE16" s="232"/>
      <c r="AF16" s="227"/>
      <c r="AG16" s="233"/>
      <c r="AH16" s="229"/>
      <c r="AI16" s="230"/>
      <c r="AJ16" s="231"/>
      <c r="AK16" s="232"/>
      <c r="AL16" s="227"/>
      <c r="AM16" s="233"/>
      <c r="AN16" s="229"/>
      <c r="AO16" s="230"/>
      <c r="AP16" s="231"/>
      <c r="AQ16" s="232"/>
      <c r="AR16" s="227"/>
      <c r="AS16" s="233"/>
      <c r="AT16" s="229"/>
      <c r="AU16" s="230"/>
      <c r="AV16" s="231"/>
      <c r="AW16" s="232"/>
      <c r="AX16" s="227"/>
      <c r="AY16" s="233"/>
      <c r="AZ16" s="229"/>
      <c r="BA16" s="230"/>
      <c r="BB16" s="231"/>
      <c r="BC16" s="232"/>
      <c r="BD16" s="227"/>
      <c r="BE16" s="233"/>
      <c r="BF16" s="229"/>
      <c r="BG16" s="230"/>
      <c r="BH16" s="234"/>
      <c r="BI16" s="232"/>
      <c r="BJ16" s="227"/>
      <c r="BK16" s="233"/>
      <c r="BL16" s="229"/>
      <c r="BM16" s="230"/>
      <c r="BN16" s="234"/>
      <c r="BO16" s="232"/>
      <c r="BP16" s="227"/>
      <c r="BQ16" s="233"/>
      <c r="BR16" s="229"/>
      <c r="BS16" s="230"/>
      <c r="BT16" s="231"/>
      <c r="BU16" s="232"/>
      <c r="BV16" s="230">
        <f t="shared" si="4"/>
        <v>-26.2</v>
      </c>
      <c r="BW16" s="231">
        <f t="shared" si="5"/>
        <v>3</v>
      </c>
      <c r="BX16" s="232">
        <f t="shared" si="6"/>
        <v>0</v>
      </c>
      <c r="BY16" s="48"/>
      <c r="DX16" s="49"/>
      <c r="DY16" s="49"/>
      <c r="EF16" s="46"/>
      <c r="EG16" s="46"/>
    </row>
    <row r="17" spans="1:137">
      <c r="A17" s="237">
        <f t="shared" si="0"/>
        <v>22</v>
      </c>
      <c r="B17" s="237">
        <f t="shared" si="1"/>
        <v>26</v>
      </c>
      <c r="C17" s="237"/>
      <c r="D17" s="281" t="str">
        <f>INDEX(Table!E:E,MATCH(E17,Table!F:F,0))</f>
        <v>C</v>
      </c>
      <c r="E17" s="223" t="s">
        <v>349</v>
      </c>
      <c r="F17" s="235">
        <f t="shared" si="2"/>
        <v>-13.397922077922077</v>
      </c>
      <c r="G17" s="54">
        <f t="shared" si="3"/>
        <v>7</v>
      </c>
      <c r="H17" s="677">
        <v>-4.8499999999999996</v>
      </c>
      <c r="I17" s="678">
        <v>1</v>
      </c>
      <c r="J17" s="225">
        <f t="shared" si="7"/>
        <v>0</v>
      </c>
      <c r="K17" s="226"/>
      <c r="L17" s="226">
        <f>INDEX(Table!M:M,MATCH(E17,Table!F:F,0))</f>
        <v>0</v>
      </c>
      <c r="M17" s="225">
        <f t="shared" si="8"/>
        <v>0</v>
      </c>
      <c r="N17" s="227">
        <v>-2.5636363636363626</v>
      </c>
      <c r="O17" s="228">
        <v>2</v>
      </c>
      <c r="P17" s="229"/>
      <c r="Q17" s="230">
        <v>-5.7142857142857144</v>
      </c>
      <c r="R17" s="231">
        <v>1</v>
      </c>
      <c r="S17" s="232"/>
      <c r="T17" s="227">
        <v>3.7300000000000004</v>
      </c>
      <c r="U17" s="233">
        <v>2</v>
      </c>
      <c r="V17" s="229"/>
      <c r="W17" s="230">
        <v>-4</v>
      </c>
      <c r="X17" s="231">
        <v>1</v>
      </c>
      <c r="Y17" s="232"/>
      <c r="Z17" s="227">
        <v>-4.8499999999999996</v>
      </c>
      <c r="AA17" s="233">
        <v>1</v>
      </c>
      <c r="AB17" s="229"/>
      <c r="AC17" s="230"/>
      <c r="AD17" s="231"/>
      <c r="AE17" s="232"/>
      <c r="AF17" s="227"/>
      <c r="AG17" s="233"/>
      <c r="AH17" s="229"/>
      <c r="AI17" s="230"/>
      <c r="AJ17" s="231"/>
      <c r="AK17" s="232"/>
      <c r="AL17" s="227"/>
      <c r="AM17" s="233"/>
      <c r="AN17" s="229"/>
      <c r="AO17" s="230"/>
      <c r="AP17" s="231"/>
      <c r="AQ17" s="232"/>
      <c r="AR17" s="227"/>
      <c r="AS17" s="233"/>
      <c r="AT17" s="229"/>
      <c r="AU17" s="230"/>
      <c r="AV17" s="231"/>
      <c r="AW17" s="232"/>
      <c r="AX17" s="227"/>
      <c r="AY17" s="233"/>
      <c r="AZ17" s="229"/>
      <c r="BA17" s="230"/>
      <c r="BB17" s="231"/>
      <c r="BC17" s="232"/>
      <c r="BD17" s="227"/>
      <c r="BE17" s="233"/>
      <c r="BF17" s="229"/>
      <c r="BG17" s="230"/>
      <c r="BH17" s="234"/>
      <c r="BI17" s="232"/>
      <c r="BJ17" s="227"/>
      <c r="BK17" s="233"/>
      <c r="BL17" s="229"/>
      <c r="BM17" s="230"/>
      <c r="BN17" s="234"/>
      <c r="BO17" s="232"/>
      <c r="BP17" s="227"/>
      <c r="BQ17" s="233"/>
      <c r="BR17" s="229"/>
      <c r="BS17" s="230"/>
      <c r="BT17" s="231"/>
      <c r="BU17" s="232"/>
      <c r="BV17" s="230">
        <f t="shared" si="4"/>
        <v>-13.397922077922075</v>
      </c>
      <c r="BW17" s="231">
        <f t="shared" si="5"/>
        <v>7</v>
      </c>
      <c r="BX17" s="232">
        <f t="shared" si="6"/>
        <v>0</v>
      </c>
      <c r="BY17" s="48"/>
      <c r="DX17" s="49"/>
      <c r="DY17" s="49"/>
      <c r="EF17" s="46"/>
      <c r="EG17" s="46"/>
    </row>
    <row r="18" spans="1:137">
      <c r="A18" s="237">
        <f t="shared" si="0"/>
        <v>10</v>
      </c>
      <c r="B18" s="237">
        <f t="shared" si="1"/>
        <v>10</v>
      </c>
      <c r="C18" s="237"/>
      <c r="D18" s="281" t="str">
        <f>INDEX(Table!E:E,MATCH(E18,Table!F:F,0))</f>
        <v>C</v>
      </c>
      <c r="E18" s="223" t="s">
        <v>488</v>
      </c>
      <c r="F18" s="235">
        <f t="shared" si="2"/>
        <v>-2.7861471861471863</v>
      </c>
      <c r="G18" s="54">
        <f t="shared" si="3"/>
        <v>8</v>
      </c>
      <c r="H18" s="677">
        <v>3.4000000000000004</v>
      </c>
      <c r="I18" s="678">
        <v>2</v>
      </c>
      <c r="J18" s="225">
        <f t="shared" si="7"/>
        <v>0</v>
      </c>
      <c r="K18" s="226"/>
      <c r="L18" s="226">
        <f>INDEX(Table!M:M,MATCH(E18,Table!F:F,0))</f>
        <v>3.8849999999999998</v>
      </c>
      <c r="M18" s="225">
        <f t="shared" si="8"/>
        <v>3.8849999999999998</v>
      </c>
      <c r="N18" s="227">
        <v>-0.66666666666666696</v>
      </c>
      <c r="O18" s="228">
        <v>2</v>
      </c>
      <c r="P18" s="229"/>
      <c r="Q18" s="230">
        <v>-7</v>
      </c>
      <c r="R18" s="231">
        <v>0</v>
      </c>
      <c r="S18" s="232"/>
      <c r="T18" s="227">
        <v>-0.51948051948051965</v>
      </c>
      <c r="U18" s="233">
        <v>2</v>
      </c>
      <c r="V18" s="229"/>
      <c r="W18" s="230">
        <v>2</v>
      </c>
      <c r="X18" s="231">
        <v>2</v>
      </c>
      <c r="Y18" s="232"/>
      <c r="Z18" s="227">
        <v>3.4000000000000004</v>
      </c>
      <c r="AA18" s="233">
        <v>2</v>
      </c>
      <c r="AB18" s="229"/>
      <c r="AC18" s="230"/>
      <c r="AD18" s="231"/>
      <c r="AE18" s="232"/>
      <c r="AF18" s="227"/>
      <c r="AG18" s="233"/>
      <c r="AH18" s="229"/>
      <c r="AI18" s="230"/>
      <c r="AJ18" s="231"/>
      <c r="AK18" s="232"/>
      <c r="AL18" s="227"/>
      <c r="AM18" s="233"/>
      <c r="AN18" s="229"/>
      <c r="AO18" s="230"/>
      <c r="AP18" s="231"/>
      <c r="AQ18" s="232"/>
      <c r="AR18" s="227"/>
      <c r="AS18" s="233"/>
      <c r="AT18" s="229"/>
      <c r="AU18" s="230"/>
      <c r="AV18" s="231"/>
      <c r="AW18" s="232"/>
      <c r="AX18" s="227"/>
      <c r="AY18" s="233"/>
      <c r="AZ18" s="229"/>
      <c r="BA18" s="230"/>
      <c r="BB18" s="231"/>
      <c r="BC18" s="232"/>
      <c r="BD18" s="227"/>
      <c r="BE18" s="233"/>
      <c r="BF18" s="229"/>
      <c r="BG18" s="230"/>
      <c r="BH18" s="234"/>
      <c r="BI18" s="232"/>
      <c r="BJ18" s="227"/>
      <c r="BK18" s="233"/>
      <c r="BL18" s="229"/>
      <c r="BM18" s="230"/>
      <c r="BN18" s="234"/>
      <c r="BO18" s="232"/>
      <c r="BP18" s="227"/>
      <c r="BQ18" s="233"/>
      <c r="BR18" s="229"/>
      <c r="BS18" s="230"/>
      <c r="BT18" s="231"/>
      <c r="BU18" s="232"/>
      <c r="BV18" s="230">
        <f t="shared" si="4"/>
        <v>-2.7861471861471863</v>
      </c>
      <c r="BW18" s="231">
        <f t="shared" si="5"/>
        <v>8</v>
      </c>
      <c r="BX18" s="232">
        <f t="shared" si="6"/>
        <v>0</v>
      </c>
      <c r="BY18" s="48"/>
      <c r="DX18" s="49"/>
      <c r="DY18" s="49"/>
      <c r="EF18" s="46"/>
      <c r="EG18" s="46"/>
    </row>
    <row r="19" spans="1:137">
      <c r="A19" s="237">
        <f t="shared" si="0"/>
        <v>17</v>
      </c>
      <c r="B19" s="237">
        <f t="shared" si="1"/>
        <v>26</v>
      </c>
      <c r="C19" s="237"/>
      <c r="D19" s="281" t="str">
        <f>INDEX(Table!E:E,MATCH(E19,Table!F:F,0))</f>
        <v>A</v>
      </c>
      <c r="E19" s="223" t="s">
        <v>283</v>
      </c>
      <c r="F19" s="235">
        <f t="shared" si="2"/>
        <v>-10.85</v>
      </c>
      <c r="G19" s="54">
        <f t="shared" si="3"/>
        <v>3</v>
      </c>
      <c r="H19" s="677">
        <v>-4.8499999999999996</v>
      </c>
      <c r="I19" s="678">
        <v>1</v>
      </c>
      <c r="J19" s="225">
        <f t="shared" si="7"/>
        <v>5</v>
      </c>
      <c r="K19" s="226"/>
      <c r="L19" s="226">
        <f>INDEX(Table!M:M,MATCH(E19,Table!F:F,0))</f>
        <v>0</v>
      </c>
      <c r="M19" s="225">
        <f t="shared" si="8"/>
        <v>5</v>
      </c>
      <c r="N19" s="227">
        <v>-7</v>
      </c>
      <c r="O19" s="228">
        <v>0</v>
      </c>
      <c r="P19" s="229"/>
      <c r="Q19" s="230">
        <v>-7</v>
      </c>
      <c r="R19" s="231">
        <v>0</v>
      </c>
      <c r="S19" s="232"/>
      <c r="T19" s="227">
        <v>15</v>
      </c>
      <c r="U19" s="233">
        <v>2</v>
      </c>
      <c r="V19" s="229">
        <v>5</v>
      </c>
      <c r="W19" s="230">
        <v>-7</v>
      </c>
      <c r="X19" s="231">
        <v>0</v>
      </c>
      <c r="Y19" s="232"/>
      <c r="Z19" s="227">
        <v>-4.8499999999999996</v>
      </c>
      <c r="AA19" s="233">
        <v>1</v>
      </c>
      <c r="AB19" s="229"/>
      <c r="AC19" s="230"/>
      <c r="AD19" s="231"/>
      <c r="AE19" s="232"/>
      <c r="AF19" s="227"/>
      <c r="AG19" s="233"/>
      <c r="AH19" s="229"/>
      <c r="AI19" s="230"/>
      <c r="AJ19" s="231"/>
      <c r="AK19" s="232"/>
      <c r="AL19" s="227"/>
      <c r="AM19" s="233"/>
      <c r="AN19" s="229"/>
      <c r="AO19" s="230"/>
      <c r="AP19" s="231"/>
      <c r="AQ19" s="232"/>
      <c r="AR19" s="227"/>
      <c r="AS19" s="233"/>
      <c r="AT19" s="229"/>
      <c r="AU19" s="230"/>
      <c r="AV19" s="231"/>
      <c r="AW19" s="232"/>
      <c r="AX19" s="227"/>
      <c r="AY19" s="233"/>
      <c r="AZ19" s="229"/>
      <c r="BA19" s="230"/>
      <c r="BB19" s="231"/>
      <c r="BC19" s="232"/>
      <c r="BD19" s="227"/>
      <c r="BE19" s="233"/>
      <c r="BF19" s="229"/>
      <c r="BG19" s="230"/>
      <c r="BH19" s="234"/>
      <c r="BI19" s="232"/>
      <c r="BJ19" s="227"/>
      <c r="BK19" s="233"/>
      <c r="BL19" s="229"/>
      <c r="BM19" s="230"/>
      <c r="BN19" s="234"/>
      <c r="BO19" s="232"/>
      <c r="BP19" s="227"/>
      <c r="BQ19" s="233"/>
      <c r="BR19" s="229"/>
      <c r="BS19" s="230"/>
      <c r="BT19" s="231"/>
      <c r="BU19" s="232"/>
      <c r="BV19" s="230">
        <f t="shared" si="4"/>
        <v>-10.85</v>
      </c>
      <c r="BW19" s="231">
        <f t="shared" si="5"/>
        <v>3</v>
      </c>
      <c r="BX19" s="232">
        <f t="shared" si="6"/>
        <v>5</v>
      </c>
      <c r="BY19" s="48"/>
      <c r="DX19" s="49"/>
      <c r="DY19" s="49"/>
      <c r="EF19" s="46"/>
      <c r="EG19" s="46"/>
    </row>
    <row r="20" spans="1:137">
      <c r="A20" s="237">
        <f t="shared" si="0"/>
        <v>15</v>
      </c>
      <c r="B20" s="237">
        <f t="shared" si="1"/>
        <v>6</v>
      </c>
      <c r="C20" s="237"/>
      <c r="D20" s="281" t="str">
        <f>INDEX(Table!E:E,MATCH(E20,Table!F:F,0))</f>
        <v>A</v>
      </c>
      <c r="E20" s="223" t="s">
        <v>350</v>
      </c>
      <c r="F20" s="235">
        <f t="shared" si="2"/>
        <v>-8.2399999999999967</v>
      </c>
      <c r="G20" s="54">
        <f t="shared" si="3"/>
        <v>5</v>
      </c>
      <c r="H20" s="677">
        <v>7.120000000000001</v>
      </c>
      <c r="I20" s="678">
        <v>2</v>
      </c>
      <c r="J20" s="225">
        <f t="shared" si="7"/>
        <v>0</v>
      </c>
      <c r="K20" s="226"/>
      <c r="L20" s="226">
        <f>INDEX(Table!M:M,MATCH(E20,Table!F:F,0))</f>
        <v>12.95</v>
      </c>
      <c r="M20" s="225">
        <f t="shared" si="8"/>
        <v>12.95</v>
      </c>
      <c r="N20" s="227">
        <v>-7</v>
      </c>
      <c r="O20" s="228">
        <v>0</v>
      </c>
      <c r="P20" s="229"/>
      <c r="Q20" s="230">
        <v>-3.6</v>
      </c>
      <c r="R20" s="231">
        <v>1</v>
      </c>
      <c r="S20" s="232"/>
      <c r="T20" s="227">
        <v>2.240000000000002</v>
      </c>
      <c r="U20" s="233">
        <v>2</v>
      </c>
      <c r="V20" s="229"/>
      <c r="W20" s="230">
        <v>-7</v>
      </c>
      <c r="X20" s="231">
        <v>0</v>
      </c>
      <c r="Y20" s="232"/>
      <c r="Z20" s="227">
        <v>7.120000000000001</v>
      </c>
      <c r="AA20" s="233">
        <v>2</v>
      </c>
      <c r="AB20" s="229"/>
      <c r="AC20" s="230"/>
      <c r="AD20" s="231"/>
      <c r="AE20" s="232"/>
      <c r="AF20" s="227"/>
      <c r="AG20" s="233"/>
      <c r="AH20" s="229"/>
      <c r="AI20" s="230"/>
      <c r="AJ20" s="231"/>
      <c r="AK20" s="232"/>
      <c r="AL20" s="227"/>
      <c r="AM20" s="233"/>
      <c r="AN20" s="229"/>
      <c r="AO20" s="230"/>
      <c r="AP20" s="231"/>
      <c r="AQ20" s="232"/>
      <c r="AR20" s="227"/>
      <c r="AS20" s="233"/>
      <c r="AT20" s="229"/>
      <c r="AU20" s="230"/>
      <c r="AV20" s="231"/>
      <c r="AW20" s="232"/>
      <c r="AX20" s="227"/>
      <c r="AY20" s="233"/>
      <c r="AZ20" s="229"/>
      <c r="BA20" s="230"/>
      <c r="BB20" s="231"/>
      <c r="BC20" s="232"/>
      <c r="BD20" s="227"/>
      <c r="BE20" s="233"/>
      <c r="BF20" s="229"/>
      <c r="BG20" s="230"/>
      <c r="BH20" s="234"/>
      <c r="BI20" s="232"/>
      <c r="BJ20" s="227"/>
      <c r="BK20" s="233"/>
      <c r="BL20" s="229"/>
      <c r="BM20" s="230"/>
      <c r="BN20" s="234"/>
      <c r="BO20" s="232"/>
      <c r="BP20" s="227"/>
      <c r="BQ20" s="233"/>
      <c r="BR20" s="229"/>
      <c r="BS20" s="230"/>
      <c r="BT20" s="231"/>
      <c r="BU20" s="232"/>
      <c r="BV20" s="230">
        <f t="shared" si="4"/>
        <v>-8.2399999999999967</v>
      </c>
      <c r="BW20" s="231">
        <f t="shared" si="5"/>
        <v>5</v>
      </c>
      <c r="BX20" s="232">
        <f t="shared" si="6"/>
        <v>0</v>
      </c>
      <c r="BY20" s="48"/>
      <c r="DX20" s="49"/>
      <c r="DY20" s="49"/>
      <c r="EF20" s="46"/>
      <c r="EG20" s="46"/>
    </row>
    <row r="21" spans="1:137">
      <c r="A21" s="237">
        <f t="shared" si="0"/>
        <v>34</v>
      </c>
      <c r="B21" s="237">
        <f t="shared" si="1"/>
        <v>34</v>
      </c>
      <c r="C21" s="237"/>
      <c r="D21" s="281" t="str">
        <f>INDEX(Table!E:E,MATCH(E21,Table!F:F,0))</f>
        <v>B</v>
      </c>
      <c r="E21" s="223" t="s">
        <v>273</v>
      </c>
      <c r="F21" s="235">
        <f t="shared" si="2"/>
        <v>-21.5</v>
      </c>
      <c r="G21" s="54">
        <f t="shared" si="3"/>
        <v>4</v>
      </c>
      <c r="H21" s="677">
        <v>-7</v>
      </c>
      <c r="I21" s="678">
        <v>0</v>
      </c>
      <c r="J21" s="225">
        <f t="shared" si="7"/>
        <v>5</v>
      </c>
      <c r="K21" s="226"/>
      <c r="L21" s="226">
        <f>INDEX(Table!M:M,MATCH(E21,Table!F:F,0))</f>
        <v>0</v>
      </c>
      <c r="M21" s="225">
        <f t="shared" si="8"/>
        <v>5</v>
      </c>
      <c r="N21" s="227">
        <v>-4.95</v>
      </c>
      <c r="O21" s="228">
        <v>1</v>
      </c>
      <c r="P21" s="229"/>
      <c r="Q21" s="230">
        <v>-7</v>
      </c>
      <c r="R21" s="231">
        <v>0</v>
      </c>
      <c r="S21" s="232"/>
      <c r="T21" s="227">
        <v>-4.95</v>
      </c>
      <c r="U21" s="233">
        <v>1</v>
      </c>
      <c r="V21" s="229"/>
      <c r="W21" s="230">
        <v>2.4000000000000004</v>
      </c>
      <c r="X21" s="231">
        <v>2</v>
      </c>
      <c r="Y21" s="232">
        <v>5</v>
      </c>
      <c r="Z21" s="227">
        <v>-7</v>
      </c>
      <c r="AA21" s="233">
        <v>0</v>
      </c>
      <c r="AB21" s="229"/>
      <c r="AC21" s="230"/>
      <c r="AD21" s="231"/>
      <c r="AE21" s="232"/>
      <c r="AF21" s="227"/>
      <c r="AG21" s="233"/>
      <c r="AH21" s="229"/>
      <c r="AI21" s="230"/>
      <c r="AJ21" s="231"/>
      <c r="AK21" s="232"/>
      <c r="AL21" s="227"/>
      <c r="AM21" s="233"/>
      <c r="AN21" s="229"/>
      <c r="AO21" s="230"/>
      <c r="AP21" s="231"/>
      <c r="AQ21" s="232"/>
      <c r="AR21" s="227"/>
      <c r="AS21" s="233"/>
      <c r="AT21" s="229"/>
      <c r="AU21" s="230"/>
      <c r="AV21" s="231"/>
      <c r="AW21" s="232"/>
      <c r="AX21" s="227"/>
      <c r="AY21" s="233"/>
      <c r="AZ21" s="229"/>
      <c r="BA21" s="230"/>
      <c r="BB21" s="231"/>
      <c r="BC21" s="232"/>
      <c r="BD21" s="227"/>
      <c r="BE21" s="233"/>
      <c r="BF21" s="229"/>
      <c r="BG21" s="230"/>
      <c r="BH21" s="234"/>
      <c r="BI21" s="232"/>
      <c r="BJ21" s="227"/>
      <c r="BK21" s="233"/>
      <c r="BL21" s="229"/>
      <c r="BM21" s="230"/>
      <c r="BN21" s="234"/>
      <c r="BO21" s="232"/>
      <c r="BP21" s="227"/>
      <c r="BQ21" s="233"/>
      <c r="BR21" s="229"/>
      <c r="BS21" s="230"/>
      <c r="BT21" s="231"/>
      <c r="BU21" s="232"/>
      <c r="BV21" s="230">
        <f t="shared" si="4"/>
        <v>-21.5</v>
      </c>
      <c r="BW21" s="231">
        <f t="shared" si="5"/>
        <v>4</v>
      </c>
      <c r="BX21" s="232">
        <f t="shared" si="6"/>
        <v>5</v>
      </c>
      <c r="BY21" s="48"/>
      <c r="DX21" s="49"/>
      <c r="DY21" s="49"/>
      <c r="EF21" s="46"/>
      <c r="EG21" s="46"/>
    </row>
    <row r="22" spans="1:137">
      <c r="A22" s="237">
        <f t="shared" si="0"/>
        <v>25</v>
      </c>
      <c r="B22" s="237">
        <f t="shared" si="1"/>
        <v>34</v>
      </c>
      <c r="C22" s="237"/>
      <c r="D22" s="281" t="str">
        <f>INDEX(Table!E:E,MATCH(E22,Table!F:F,0))</f>
        <v>B</v>
      </c>
      <c r="E22" s="223" t="s">
        <v>287</v>
      </c>
      <c r="F22" s="235">
        <f t="shared" si="2"/>
        <v>-16.169090909090908</v>
      </c>
      <c r="G22" s="54">
        <f t="shared" si="3"/>
        <v>7</v>
      </c>
      <c r="H22" s="677">
        <v>-7</v>
      </c>
      <c r="I22" s="678">
        <v>0</v>
      </c>
      <c r="J22" s="225">
        <f t="shared" si="7"/>
        <v>0</v>
      </c>
      <c r="K22" s="226"/>
      <c r="L22" s="226">
        <f>INDEX(Table!M:M,MATCH(E22,Table!F:F,0))</f>
        <v>0</v>
      </c>
      <c r="M22" s="225">
        <f t="shared" si="8"/>
        <v>0</v>
      </c>
      <c r="N22" s="227">
        <v>-5.15</v>
      </c>
      <c r="O22" s="228">
        <v>1</v>
      </c>
      <c r="P22" s="229"/>
      <c r="Q22" s="230">
        <v>-5.5</v>
      </c>
      <c r="R22" s="231">
        <v>1</v>
      </c>
      <c r="S22" s="232"/>
      <c r="T22" s="227">
        <v>-0.85999999999999943</v>
      </c>
      <c r="U22" s="233">
        <v>2</v>
      </c>
      <c r="V22" s="229"/>
      <c r="W22" s="230">
        <v>2.3409090909090917</v>
      </c>
      <c r="X22" s="231">
        <v>3</v>
      </c>
      <c r="Y22" s="232"/>
      <c r="Z22" s="227">
        <v>-7</v>
      </c>
      <c r="AA22" s="233">
        <v>0</v>
      </c>
      <c r="AB22" s="229"/>
      <c r="AC22" s="230"/>
      <c r="AD22" s="231"/>
      <c r="AE22" s="232"/>
      <c r="AF22" s="227"/>
      <c r="AG22" s="233"/>
      <c r="AH22" s="229"/>
      <c r="AI22" s="230"/>
      <c r="AJ22" s="231"/>
      <c r="AK22" s="232"/>
      <c r="AL22" s="227"/>
      <c r="AM22" s="233"/>
      <c r="AN22" s="229"/>
      <c r="AO22" s="230"/>
      <c r="AP22" s="231"/>
      <c r="AQ22" s="232"/>
      <c r="AR22" s="227"/>
      <c r="AS22" s="233"/>
      <c r="AT22" s="229"/>
      <c r="AU22" s="230"/>
      <c r="AV22" s="231"/>
      <c r="AW22" s="232"/>
      <c r="AX22" s="227"/>
      <c r="AY22" s="233"/>
      <c r="AZ22" s="229"/>
      <c r="BA22" s="230"/>
      <c r="BB22" s="231"/>
      <c r="BC22" s="232"/>
      <c r="BD22" s="227"/>
      <c r="BE22" s="233"/>
      <c r="BF22" s="229"/>
      <c r="BG22" s="230"/>
      <c r="BH22" s="234"/>
      <c r="BI22" s="232"/>
      <c r="BJ22" s="227"/>
      <c r="BK22" s="233"/>
      <c r="BL22" s="229"/>
      <c r="BM22" s="230"/>
      <c r="BN22" s="234"/>
      <c r="BO22" s="232"/>
      <c r="BP22" s="227"/>
      <c r="BQ22" s="233"/>
      <c r="BR22" s="229"/>
      <c r="BS22" s="230"/>
      <c r="BT22" s="231"/>
      <c r="BU22" s="232"/>
      <c r="BV22" s="230">
        <f t="shared" si="4"/>
        <v>-16.169090909090908</v>
      </c>
      <c r="BW22" s="231">
        <f t="shared" si="5"/>
        <v>7</v>
      </c>
      <c r="BX22" s="232">
        <f t="shared" si="6"/>
        <v>0</v>
      </c>
      <c r="BY22" s="48"/>
      <c r="DX22" s="49"/>
      <c r="DY22" s="49"/>
      <c r="EF22" s="46"/>
      <c r="EG22" s="46"/>
    </row>
    <row r="23" spans="1:137">
      <c r="A23" s="237">
        <f t="shared" si="0"/>
        <v>37</v>
      </c>
      <c r="B23" s="237">
        <f t="shared" si="1"/>
        <v>33</v>
      </c>
      <c r="C23" s="237"/>
      <c r="D23" s="281" t="str">
        <f>INDEX(Table!E:E,MATCH(E23,Table!F:F,0))</f>
        <v>C</v>
      </c>
      <c r="E23" s="223" t="s">
        <v>296</v>
      </c>
      <c r="F23" s="235">
        <f t="shared" si="2"/>
        <v>-23.530555555555555</v>
      </c>
      <c r="G23" s="54">
        <f t="shared" si="3"/>
        <v>5</v>
      </c>
      <c r="H23" s="677">
        <v>-5.7</v>
      </c>
      <c r="I23" s="678">
        <v>1</v>
      </c>
      <c r="J23" s="225">
        <f t="shared" si="7"/>
        <v>0</v>
      </c>
      <c r="K23" s="226"/>
      <c r="L23" s="226">
        <f>INDEX(Table!M:M,MATCH(E23,Table!F:F,0))</f>
        <v>0</v>
      </c>
      <c r="M23" s="225">
        <f t="shared" si="8"/>
        <v>0</v>
      </c>
      <c r="N23" s="227">
        <v>-7</v>
      </c>
      <c r="O23" s="228">
        <v>0</v>
      </c>
      <c r="P23" s="229"/>
      <c r="Q23" s="230">
        <v>-1.155555555555555</v>
      </c>
      <c r="R23" s="231">
        <v>2</v>
      </c>
      <c r="S23" s="232"/>
      <c r="T23" s="227">
        <v>-4.375</v>
      </c>
      <c r="U23" s="233">
        <v>1</v>
      </c>
      <c r="V23" s="229"/>
      <c r="W23" s="230">
        <v>-5.3</v>
      </c>
      <c r="X23" s="231">
        <v>1</v>
      </c>
      <c r="Y23" s="232"/>
      <c r="Z23" s="227">
        <v>-5.7</v>
      </c>
      <c r="AA23" s="233">
        <v>1</v>
      </c>
      <c r="AB23" s="229"/>
      <c r="AC23" s="230"/>
      <c r="AD23" s="231"/>
      <c r="AE23" s="232"/>
      <c r="AF23" s="227"/>
      <c r="AG23" s="233"/>
      <c r="AH23" s="229"/>
      <c r="AI23" s="230"/>
      <c r="AJ23" s="231"/>
      <c r="AK23" s="232"/>
      <c r="AL23" s="227"/>
      <c r="AM23" s="233"/>
      <c r="AN23" s="229"/>
      <c r="AO23" s="230"/>
      <c r="AP23" s="231"/>
      <c r="AQ23" s="232"/>
      <c r="AR23" s="227"/>
      <c r="AS23" s="233"/>
      <c r="AT23" s="229"/>
      <c r="AU23" s="230"/>
      <c r="AV23" s="231"/>
      <c r="AW23" s="232"/>
      <c r="AX23" s="227"/>
      <c r="AY23" s="233"/>
      <c r="AZ23" s="229"/>
      <c r="BA23" s="230"/>
      <c r="BB23" s="231"/>
      <c r="BC23" s="232"/>
      <c r="BD23" s="227"/>
      <c r="BE23" s="233"/>
      <c r="BF23" s="229"/>
      <c r="BG23" s="230"/>
      <c r="BH23" s="234"/>
      <c r="BI23" s="232"/>
      <c r="BJ23" s="227"/>
      <c r="BK23" s="233"/>
      <c r="BL23" s="229"/>
      <c r="BM23" s="230"/>
      <c r="BN23" s="234"/>
      <c r="BO23" s="232"/>
      <c r="BP23" s="227"/>
      <c r="BQ23" s="233"/>
      <c r="BR23" s="229"/>
      <c r="BS23" s="230"/>
      <c r="BT23" s="231"/>
      <c r="BU23" s="232"/>
      <c r="BV23" s="230">
        <f t="shared" si="4"/>
        <v>-23.530555555555555</v>
      </c>
      <c r="BW23" s="231">
        <f t="shared" si="5"/>
        <v>5</v>
      </c>
      <c r="BX23" s="232">
        <f t="shared" si="6"/>
        <v>0</v>
      </c>
      <c r="BY23" s="48"/>
      <c r="DX23" s="49"/>
      <c r="DY23" s="49"/>
      <c r="EF23" s="46"/>
      <c r="EG23" s="46"/>
    </row>
    <row r="24" spans="1:137">
      <c r="A24" s="237">
        <f t="shared" si="0"/>
        <v>30</v>
      </c>
      <c r="B24" s="237">
        <f t="shared" si="1"/>
        <v>18</v>
      </c>
      <c r="C24" s="237"/>
      <c r="D24" s="281" t="str">
        <f>INDEX(Table!E:E,MATCH(E24,Table!F:F,0))</f>
        <v>C</v>
      </c>
      <c r="E24" s="223" t="s">
        <v>494</v>
      </c>
      <c r="F24" s="235">
        <f t="shared" si="2"/>
        <v>-19.484166666666663</v>
      </c>
      <c r="G24" s="54">
        <f t="shared" si="3"/>
        <v>5</v>
      </c>
      <c r="H24" s="677">
        <v>-0.75499999999999989</v>
      </c>
      <c r="I24" s="678">
        <v>2</v>
      </c>
      <c r="J24" s="225">
        <f t="shared" si="7"/>
        <v>0</v>
      </c>
      <c r="K24" s="226"/>
      <c r="L24" s="226">
        <f>INDEX(Table!M:M,MATCH(E24,Table!F:F,0))</f>
        <v>0</v>
      </c>
      <c r="M24" s="225">
        <f t="shared" si="8"/>
        <v>0</v>
      </c>
      <c r="N24" s="227">
        <v>-7</v>
      </c>
      <c r="O24" s="228">
        <v>0</v>
      </c>
      <c r="P24" s="229"/>
      <c r="Q24" s="230">
        <v>-5.1666666666666661</v>
      </c>
      <c r="R24" s="231">
        <v>1</v>
      </c>
      <c r="S24" s="232"/>
      <c r="T24" s="227">
        <v>0.4375</v>
      </c>
      <c r="U24" s="233">
        <v>2</v>
      </c>
      <c r="V24" s="229"/>
      <c r="W24" s="230">
        <v>-7</v>
      </c>
      <c r="X24" s="231">
        <v>0</v>
      </c>
      <c r="Y24" s="232"/>
      <c r="Z24" s="227">
        <v>-0.75499999999999989</v>
      </c>
      <c r="AA24" s="233">
        <v>2</v>
      </c>
      <c r="AB24" s="229"/>
      <c r="AC24" s="230"/>
      <c r="AD24" s="231"/>
      <c r="AE24" s="232"/>
      <c r="AF24" s="227"/>
      <c r="AG24" s="233"/>
      <c r="AH24" s="229"/>
      <c r="AI24" s="230"/>
      <c r="AJ24" s="231"/>
      <c r="AK24" s="232"/>
      <c r="AL24" s="227"/>
      <c r="AM24" s="233"/>
      <c r="AN24" s="229"/>
      <c r="AO24" s="230"/>
      <c r="AP24" s="231"/>
      <c r="AQ24" s="232"/>
      <c r="AR24" s="227"/>
      <c r="AS24" s="233"/>
      <c r="AT24" s="229"/>
      <c r="AU24" s="230"/>
      <c r="AV24" s="231"/>
      <c r="AW24" s="232"/>
      <c r="AX24" s="227"/>
      <c r="AY24" s="233"/>
      <c r="AZ24" s="229"/>
      <c r="BA24" s="230"/>
      <c r="BB24" s="231"/>
      <c r="BC24" s="232"/>
      <c r="BD24" s="227"/>
      <c r="BE24" s="233"/>
      <c r="BF24" s="229"/>
      <c r="BG24" s="230"/>
      <c r="BH24" s="234"/>
      <c r="BI24" s="232"/>
      <c r="BJ24" s="227"/>
      <c r="BK24" s="233"/>
      <c r="BL24" s="229"/>
      <c r="BM24" s="230"/>
      <c r="BN24" s="234"/>
      <c r="BO24" s="232"/>
      <c r="BP24" s="227"/>
      <c r="BQ24" s="233"/>
      <c r="BR24" s="229"/>
      <c r="BS24" s="230"/>
      <c r="BT24" s="231"/>
      <c r="BU24" s="232"/>
      <c r="BV24" s="230">
        <f t="shared" si="4"/>
        <v>-19.484166666666667</v>
      </c>
      <c r="BW24" s="231">
        <f t="shared" si="5"/>
        <v>5</v>
      </c>
      <c r="BX24" s="232">
        <f t="shared" si="6"/>
        <v>0</v>
      </c>
      <c r="BY24" s="48"/>
      <c r="DX24" s="49"/>
      <c r="DY24" s="49"/>
      <c r="EF24" s="46"/>
      <c r="EG24" s="46"/>
    </row>
    <row r="25" spans="1:137">
      <c r="A25" s="237">
        <f t="shared" si="0"/>
        <v>26</v>
      </c>
      <c r="B25" s="237">
        <f t="shared" si="1"/>
        <v>34</v>
      </c>
      <c r="C25" s="237"/>
      <c r="D25" s="281" t="str">
        <f>INDEX(Table!E:E,MATCH(E25,Table!F:F,0))</f>
        <v>B</v>
      </c>
      <c r="E25" s="223" t="s">
        <v>288</v>
      </c>
      <c r="F25" s="235">
        <f t="shared" si="2"/>
        <v>-16.638888888888889</v>
      </c>
      <c r="G25" s="54">
        <f t="shared" si="3"/>
        <v>6</v>
      </c>
      <c r="H25" s="677">
        <v>-7</v>
      </c>
      <c r="I25" s="678">
        <v>0</v>
      </c>
      <c r="J25" s="225">
        <f t="shared" si="7"/>
        <v>0</v>
      </c>
      <c r="K25" s="226"/>
      <c r="L25" s="226">
        <f>INDEX(Table!M:M,MATCH(E25,Table!F:F,0))</f>
        <v>0</v>
      </c>
      <c r="M25" s="225">
        <f t="shared" si="8"/>
        <v>0</v>
      </c>
      <c r="N25" s="227">
        <v>-0.8888888888888884</v>
      </c>
      <c r="O25" s="228">
        <v>2</v>
      </c>
      <c r="P25" s="229"/>
      <c r="Q25" s="230">
        <v>-5.2</v>
      </c>
      <c r="R25" s="231">
        <v>1</v>
      </c>
      <c r="S25" s="232"/>
      <c r="T25" s="227">
        <v>-4.8</v>
      </c>
      <c r="U25" s="233">
        <v>1</v>
      </c>
      <c r="V25" s="229"/>
      <c r="W25" s="230">
        <v>1.25</v>
      </c>
      <c r="X25" s="231">
        <v>2</v>
      </c>
      <c r="Y25" s="232"/>
      <c r="Z25" s="227">
        <v>-7</v>
      </c>
      <c r="AA25" s="233">
        <v>0</v>
      </c>
      <c r="AB25" s="229"/>
      <c r="AC25" s="230"/>
      <c r="AD25" s="231"/>
      <c r="AE25" s="232"/>
      <c r="AF25" s="227"/>
      <c r="AG25" s="233"/>
      <c r="AH25" s="229"/>
      <c r="AI25" s="230"/>
      <c r="AJ25" s="231"/>
      <c r="AK25" s="232"/>
      <c r="AL25" s="227"/>
      <c r="AM25" s="233"/>
      <c r="AN25" s="229"/>
      <c r="AO25" s="230"/>
      <c r="AP25" s="231"/>
      <c r="AQ25" s="232"/>
      <c r="AR25" s="227"/>
      <c r="AS25" s="233"/>
      <c r="AT25" s="229"/>
      <c r="AU25" s="230"/>
      <c r="AV25" s="231"/>
      <c r="AW25" s="232"/>
      <c r="AX25" s="227"/>
      <c r="AY25" s="233"/>
      <c r="AZ25" s="229"/>
      <c r="BA25" s="230"/>
      <c r="BB25" s="231"/>
      <c r="BC25" s="232"/>
      <c r="BD25" s="227"/>
      <c r="BE25" s="233"/>
      <c r="BF25" s="229"/>
      <c r="BG25" s="230"/>
      <c r="BH25" s="234"/>
      <c r="BI25" s="232"/>
      <c r="BJ25" s="227"/>
      <c r="BK25" s="233"/>
      <c r="BL25" s="229"/>
      <c r="BM25" s="230"/>
      <c r="BN25" s="234"/>
      <c r="BO25" s="232"/>
      <c r="BP25" s="227"/>
      <c r="BQ25" s="233"/>
      <c r="BR25" s="229"/>
      <c r="BS25" s="230"/>
      <c r="BT25" s="231"/>
      <c r="BU25" s="232"/>
      <c r="BV25" s="230">
        <f t="shared" si="4"/>
        <v>-16.638888888888889</v>
      </c>
      <c r="BW25" s="231">
        <f t="shared" si="5"/>
        <v>6</v>
      </c>
      <c r="BX25" s="232">
        <f t="shared" si="6"/>
        <v>0</v>
      </c>
      <c r="BY25" s="48"/>
      <c r="DX25" s="49"/>
      <c r="DY25" s="49"/>
      <c r="EF25" s="46"/>
      <c r="EG25" s="46"/>
    </row>
    <row r="26" spans="1:137">
      <c r="A26" s="237">
        <f t="shared" si="0"/>
        <v>12</v>
      </c>
      <c r="B26" s="237">
        <f t="shared" si="1"/>
        <v>34</v>
      </c>
      <c r="C26" s="237"/>
      <c r="D26" s="281" t="str">
        <f>INDEX(Table!E:E,MATCH(E26,Table!F:F,0))</f>
        <v>A</v>
      </c>
      <c r="E26" s="223" t="s">
        <v>278</v>
      </c>
      <c r="F26" s="235">
        <f t="shared" si="2"/>
        <v>-4.1271428571428581</v>
      </c>
      <c r="G26" s="54">
        <f t="shared" si="3"/>
        <v>9</v>
      </c>
      <c r="H26" s="677">
        <v>-7</v>
      </c>
      <c r="I26" s="678">
        <v>0</v>
      </c>
      <c r="J26" s="225">
        <f t="shared" si="7"/>
        <v>5</v>
      </c>
      <c r="K26" s="226"/>
      <c r="L26" s="226">
        <f>INDEX(Table!M:M,MATCH(E26,Table!F:F,0))</f>
        <v>46.25</v>
      </c>
      <c r="M26" s="225">
        <f t="shared" si="8"/>
        <v>51.25</v>
      </c>
      <c r="N26" s="227">
        <v>0.69249999999999901</v>
      </c>
      <c r="O26" s="228">
        <v>2</v>
      </c>
      <c r="P26" s="229"/>
      <c r="Q26" s="230">
        <v>-1.5</v>
      </c>
      <c r="R26" s="231">
        <v>2</v>
      </c>
      <c r="S26" s="232"/>
      <c r="T26" s="227">
        <v>0.74285714285714288</v>
      </c>
      <c r="U26" s="233">
        <v>2</v>
      </c>
      <c r="V26" s="229"/>
      <c r="W26" s="230">
        <v>2.9375</v>
      </c>
      <c r="X26" s="231">
        <v>3</v>
      </c>
      <c r="Y26" s="232">
        <v>5</v>
      </c>
      <c r="Z26" s="227">
        <v>-7</v>
      </c>
      <c r="AA26" s="233">
        <v>0</v>
      </c>
      <c r="AB26" s="229"/>
      <c r="AC26" s="230"/>
      <c r="AD26" s="231"/>
      <c r="AE26" s="232"/>
      <c r="AF26" s="227"/>
      <c r="AG26" s="233"/>
      <c r="AH26" s="229"/>
      <c r="AI26" s="230"/>
      <c r="AJ26" s="231"/>
      <c r="AK26" s="232"/>
      <c r="AL26" s="227"/>
      <c r="AM26" s="233"/>
      <c r="AN26" s="229"/>
      <c r="AO26" s="230"/>
      <c r="AP26" s="231"/>
      <c r="AQ26" s="232"/>
      <c r="AR26" s="227"/>
      <c r="AS26" s="233"/>
      <c r="AT26" s="229"/>
      <c r="AU26" s="230"/>
      <c r="AV26" s="231"/>
      <c r="AW26" s="232"/>
      <c r="AX26" s="227"/>
      <c r="AY26" s="233"/>
      <c r="AZ26" s="229"/>
      <c r="BA26" s="230"/>
      <c r="BB26" s="231"/>
      <c r="BC26" s="232"/>
      <c r="BD26" s="227"/>
      <c r="BE26" s="233"/>
      <c r="BF26" s="229"/>
      <c r="BG26" s="230"/>
      <c r="BH26" s="234"/>
      <c r="BI26" s="232"/>
      <c r="BJ26" s="227"/>
      <c r="BK26" s="233"/>
      <c r="BL26" s="229"/>
      <c r="BM26" s="230"/>
      <c r="BN26" s="234"/>
      <c r="BO26" s="232"/>
      <c r="BP26" s="227"/>
      <c r="BQ26" s="233"/>
      <c r="BR26" s="229"/>
      <c r="BS26" s="230"/>
      <c r="BT26" s="231"/>
      <c r="BU26" s="232"/>
      <c r="BV26" s="230">
        <f t="shared" si="4"/>
        <v>-4.1271428571428581</v>
      </c>
      <c r="BW26" s="231">
        <f t="shared" si="5"/>
        <v>9</v>
      </c>
      <c r="BX26" s="232">
        <f t="shared" si="6"/>
        <v>5</v>
      </c>
      <c r="BY26" s="48"/>
      <c r="DX26" s="49"/>
      <c r="DY26" s="49"/>
      <c r="EF26" s="46"/>
      <c r="EG26" s="46"/>
    </row>
    <row r="27" spans="1:137">
      <c r="A27" s="237">
        <f t="shared" si="0"/>
        <v>19</v>
      </c>
      <c r="B27" s="237">
        <f t="shared" si="1"/>
        <v>12</v>
      </c>
      <c r="C27" s="237"/>
      <c r="D27" s="281" t="str">
        <f>INDEX(Table!E:E,MATCH(E27,Table!F:F,0))</f>
        <v>A</v>
      </c>
      <c r="E27" s="223" t="s">
        <v>279</v>
      </c>
      <c r="F27" s="235">
        <f t="shared" si="2"/>
        <v>-11.219999999999999</v>
      </c>
      <c r="G27" s="54">
        <f t="shared" si="3"/>
        <v>6</v>
      </c>
      <c r="H27" s="677">
        <v>2.5399999999999991</v>
      </c>
      <c r="I27" s="678">
        <v>2</v>
      </c>
      <c r="J27" s="225">
        <f t="shared" si="7"/>
        <v>0</v>
      </c>
      <c r="K27" s="226"/>
      <c r="L27" s="226">
        <f>INDEX(Table!M:M,MATCH(E27,Table!F:F,0))</f>
        <v>0</v>
      </c>
      <c r="M27" s="225">
        <f t="shared" si="8"/>
        <v>0</v>
      </c>
      <c r="N27" s="227">
        <v>-4.7</v>
      </c>
      <c r="O27" s="228">
        <v>1</v>
      </c>
      <c r="P27" s="229"/>
      <c r="Q27" s="230">
        <v>-7</v>
      </c>
      <c r="R27" s="231">
        <v>0</v>
      </c>
      <c r="S27" s="232"/>
      <c r="T27" s="227">
        <v>2.240000000000002</v>
      </c>
      <c r="U27" s="233">
        <v>2</v>
      </c>
      <c r="V27" s="229"/>
      <c r="W27" s="230">
        <v>-4.3</v>
      </c>
      <c r="X27" s="231">
        <v>1</v>
      </c>
      <c r="Y27" s="232"/>
      <c r="Z27" s="227">
        <v>2.5399999999999991</v>
      </c>
      <c r="AA27" s="233">
        <v>2</v>
      </c>
      <c r="AB27" s="229"/>
      <c r="AC27" s="230"/>
      <c r="AD27" s="231"/>
      <c r="AE27" s="232"/>
      <c r="AF27" s="227"/>
      <c r="AG27" s="233"/>
      <c r="AH27" s="229"/>
      <c r="AI27" s="230"/>
      <c r="AJ27" s="231"/>
      <c r="AK27" s="232"/>
      <c r="AL27" s="227"/>
      <c r="AM27" s="233"/>
      <c r="AN27" s="229"/>
      <c r="AO27" s="230"/>
      <c r="AP27" s="231"/>
      <c r="AQ27" s="232"/>
      <c r="AR27" s="227"/>
      <c r="AS27" s="233"/>
      <c r="AT27" s="229"/>
      <c r="AU27" s="230"/>
      <c r="AV27" s="231"/>
      <c r="AW27" s="232"/>
      <c r="AX27" s="227"/>
      <c r="AY27" s="233"/>
      <c r="AZ27" s="229"/>
      <c r="BA27" s="230"/>
      <c r="BB27" s="231"/>
      <c r="BC27" s="232"/>
      <c r="BD27" s="227"/>
      <c r="BE27" s="233"/>
      <c r="BF27" s="229"/>
      <c r="BG27" s="230"/>
      <c r="BH27" s="234"/>
      <c r="BI27" s="232"/>
      <c r="BJ27" s="227"/>
      <c r="BK27" s="233"/>
      <c r="BL27" s="229"/>
      <c r="BM27" s="230"/>
      <c r="BN27" s="234"/>
      <c r="BO27" s="232"/>
      <c r="BP27" s="227"/>
      <c r="BQ27" s="233"/>
      <c r="BR27" s="229"/>
      <c r="BS27" s="230"/>
      <c r="BT27" s="231"/>
      <c r="BU27" s="232"/>
      <c r="BV27" s="230">
        <f t="shared" si="4"/>
        <v>-11.219999999999999</v>
      </c>
      <c r="BW27" s="231">
        <f t="shared" si="5"/>
        <v>6</v>
      </c>
      <c r="BX27" s="232">
        <f t="shared" si="6"/>
        <v>0</v>
      </c>
      <c r="BY27" s="48"/>
      <c r="DX27" s="49"/>
      <c r="DY27" s="49"/>
      <c r="EF27" s="46"/>
      <c r="EG27" s="46"/>
    </row>
    <row r="28" spans="1:137">
      <c r="A28" s="237">
        <f t="shared" si="0"/>
        <v>9</v>
      </c>
      <c r="B28" s="237">
        <f t="shared" si="1"/>
        <v>34</v>
      </c>
      <c r="C28" s="237"/>
      <c r="D28" s="281" t="str">
        <f>INDEX(Table!E:E,MATCH(E28,Table!F:F,0))</f>
        <v>B</v>
      </c>
      <c r="E28" s="223" t="s">
        <v>275</v>
      </c>
      <c r="F28" s="235">
        <f t="shared" si="2"/>
        <v>-2.5642857142857149</v>
      </c>
      <c r="G28" s="54">
        <f t="shared" si="3"/>
        <v>6</v>
      </c>
      <c r="H28" s="677">
        <v>-7</v>
      </c>
      <c r="I28" s="678">
        <v>0</v>
      </c>
      <c r="J28" s="225">
        <f t="shared" si="7"/>
        <v>5</v>
      </c>
      <c r="K28" s="226"/>
      <c r="L28" s="226">
        <f>INDEX(Table!M:M,MATCH(E28,Table!F:F,0))</f>
        <v>15.54</v>
      </c>
      <c r="M28" s="225">
        <f t="shared" si="8"/>
        <v>20.54</v>
      </c>
      <c r="N28" s="227">
        <v>-3.1</v>
      </c>
      <c r="O28" s="228">
        <v>1</v>
      </c>
      <c r="P28" s="229"/>
      <c r="Q28" s="230">
        <v>-5.7142857142857144</v>
      </c>
      <c r="R28" s="231">
        <v>1</v>
      </c>
      <c r="S28" s="232"/>
      <c r="T28" s="227">
        <v>11.5</v>
      </c>
      <c r="U28" s="233">
        <v>2</v>
      </c>
      <c r="V28" s="229">
        <v>5</v>
      </c>
      <c r="W28" s="230">
        <v>1.75</v>
      </c>
      <c r="X28" s="231">
        <v>2</v>
      </c>
      <c r="Y28" s="232"/>
      <c r="Z28" s="227">
        <v>-7</v>
      </c>
      <c r="AA28" s="233">
        <v>0</v>
      </c>
      <c r="AB28" s="229"/>
      <c r="AC28" s="230"/>
      <c r="AD28" s="231"/>
      <c r="AE28" s="232"/>
      <c r="AF28" s="227"/>
      <c r="AG28" s="233"/>
      <c r="AH28" s="229"/>
      <c r="AI28" s="230"/>
      <c r="AJ28" s="231"/>
      <c r="AK28" s="232"/>
      <c r="AL28" s="227"/>
      <c r="AM28" s="233"/>
      <c r="AN28" s="229"/>
      <c r="AO28" s="230"/>
      <c r="AP28" s="231"/>
      <c r="AQ28" s="232"/>
      <c r="AR28" s="227"/>
      <c r="AS28" s="233"/>
      <c r="AT28" s="229"/>
      <c r="AU28" s="230"/>
      <c r="AV28" s="231"/>
      <c r="AW28" s="232"/>
      <c r="AX28" s="227"/>
      <c r="AY28" s="233"/>
      <c r="AZ28" s="229"/>
      <c r="BA28" s="230"/>
      <c r="BB28" s="231"/>
      <c r="BC28" s="232"/>
      <c r="BD28" s="227"/>
      <c r="BE28" s="233"/>
      <c r="BF28" s="229"/>
      <c r="BG28" s="230"/>
      <c r="BH28" s="234"/>
      <c r="BI28" s="232"/>
      <c r="BJ28" s="227"/>
      <c r="BK28" s="233"/>
      <c r="BL28" s="229"/>
      <c r="BM28" s="230"/>
      <c r="BN28" s="234"/>
      <c r="BO28" s="232"/>
      <c r="BP28" s="227"/>
      <c r="BQ28" s="233"/>
      <c r="BR28" s="229"/>
      <c r="BS28" s="230"/>
      <c r="BT28" s="231"/>
      <c r="BU28" s="232"/>
      <c r="BV28" s="230">
        <f t="shared" si="4"/>
        <v>-2.5642857142857145</v>
      </c>
      <c r="BW28" s="231">
        <f t="shared" si="5"/>
        <v>6</v>
      </c>
      <c r="BX28" s="232">
        <f t="shared" si="6"/>
        <v>5</v>
      </c>
      <c r="BY28" s="48"/>
      <c r="DX28" s="49"/>
      <c r="DY28" s="49"/>
      <c r="EF28" s="46"/>
      <c r="EG28" s="46"/>
    </row>
    <row r="29" spans="1:137">
      <c r="A29" s="237">
        <f t="shared" si="0"/>
        <v>31</v>
      </c>
      <c r="B29" s="237">
        <f t="shared" si="1"/>
        <v>14</v>
      </c>
      <c r="C29" s="237"/>
      <c r="D29" s="281" t="str">
        <f>INDEX(Table!E:E,MATCH(E29,Table!F:F,0))</f>
        <v>B</v>
      </c>
      <c r="E29" s="223" t="s">
        <v>274</v>
      </c>
      <c r="F29" s="235">
        <f t="shared" si="2"/>
        <v>-19.786363636363635</v>
      </c>
      <c r="G29" s="54">
        <f t="shared" si="3"/>
        <v>5</v>
      </c>
      <c r="H29" s="677">
        <v>1.163636363636364</v>
      </c>
      <c r="I29" s="678">
        <v>2</v>
      </c>
      <c r="J29" s="225">
        <f t="shared" si="7"/>
        <v>0</v>
      </c>
      <c r="K29" s="226"/>
      <c r="L29" s="226">
        <f>INDEX(Table!M:M,MATCH(E29,Table!F:F,0))</f>
        <v>0</v>
      </c>
      <c r="M29" s="225">
        <f t="shared" si="8"/>
        <v>0</v>
      </c>
      <c r="N29" s="227">
        <v>-7</v>
      </c>
      <c r="O29" s="228">
        <v>0</v>
      </c>
      <c r="P29" s="229"/>
      <c r="Q29" s="230">
        <v>-3.7</v>
      </c>
      <c r="R29" s="231">
        <v>1</v>
      </c>
      <c r="S29" s="232"/>
      <c r="T29" s="227">
        <v>-5.45</v>
      </c>
      <c r="U29" s="233">
        <v>1</v>
      </c>
      <c r="V29" s="229"/>
      <c r="W29" s="230">
        <v>-4.8</v>
      </c>
      <c r="X29" s="231">
        <v>1</v>
      </c>
      <c r="Y29" s="232"/>
      <c r="Z29" s="227">
        <v>1.163636363636364</v>
      </c>
      <c r="AA29" s="233">
        <v>2</v>
      </c>
      <c r="AB29" s="229"/>
      <c r="AC29" s="230"/>
      <c r="AD29" s="231"/>
      <c r="AE29" s="232"/>
      <c r="AF29" s="227"/>
      <c r="AG29" s="233"/>
      <c r="AH29" s="229"/>
      <c r="AI29" s="230"/>
      <c r="AJ29" s="231"/>
      <c r="AK29" s="232"/>
      <c r="AL29" s="227"/>
      <c r="AM29" s="233"/>
      <c r="AN29" s="229"/>
      <c r="AO29" s="230"/>
      <c r="AP29" s="231"/>
      <c r="AQ29" s="232"/>
      <c r="AR29" s="227"/>
      <c r="AS29" s="233"/>
      <c r="AT29" s="229"/>
      <c r="AU29" s="230"/>
      <c r="AV29" s="231"/>
      <c r="AW29" s="232"/>
      <c r="AX29" s="227"/>
      <c r="AY29" s="233"/>
      <c r="AZ29" s="229"/>
      <c r="BA29" s="230"/>
      <c r="BB29" s="231"/>
      <c r="BC29" s="232"/>
      <c r="BD29" s="227"/>
      <c r="BE29" s="233"/>
      <c r="BF29" s="229"/>
      <c r="BG29" s="230"/>
      <c r="BH29" s="234"/>
      <c r="BI29" s="232"/>
      <c r="BJ29" s="227"/>
      <c r="BK29" s="233"/>
      <c r="BL29" s="229"/>
      <c r="BM29" s="230"/>
      <c r="BN29" s="234"/>
      <c r="BO29" s="232"/>
      <c r="BP29" s="227"/>
      <c r="BQ29" s="233"/>
      <c r="BR29" s="229"/>
      <c r="BS29" s="230"/>
      <c r="BT29" s="231"/>
      <c r="BU29" s="232"/>
      <c r="BV29" s="230">
        <f t="shared" si="4"/>
        <v>-19.786363636363635</v>
      </c>
      <c r="BW29" s="231">
        <f t="shared" si="5"/>
        <v>5</v>
      </c>
      <c r="BX29" s="232">
        <f t="shared" si="6"/>
        <v>0</v>
      </c>
      <c r="BY29" s="48"/>
      <c r="DX29" s="49"/>
      <c r="DY29" s="49"/>
      <c r="EF29" s="46"/>
      <c r="EG29" s="46"/>
    </row>
    <row r="30" spans="1:137">
      <c r="A30" s="237">
        <f t="shared" si="0"/>
        <v>6</v>
      </c>
      <c r="B30" s="237">
        <f t="shared" si="1"/>
        <v>5</v>
      </c>
      <c r="C30" s="237"/>
      <c r="D30" s="281" t="str">
        <f>INDEX(Table!E:E,MATCH(E30,Table!F:F,0))</f>
        <v>B</v>
      </c>
      <c r="E30" s="223" t="s">
        <v>352</v>
      </c>
      <c r="F30" s="235">
        <f t="shared" si="2"/>
        <v>2.1981111111111131</v>
      </c>
      <c r="G30" s="54">
        <f t="shared" si="3"/>
        <v>9</v>
      </c>
      <c r="H30" s="677">
        <v>9.1120000000000019</v>
      </c>
      <c r="I30" s="678">
        <v>3</v>
      </c>
      <c r="J30" s="225">
        <f t="shared" si="7"/>
        <v>0</v>
      </c>
      <c r="K30" s="226"/>
      <c r="L30" s="226">
        <f>INDEX(Table!M:M,MATCH(E30,Table!F:F,0))</f>
        <v>23.31</v>
      </c>
      <c r="M30" s="225">
        <f t="shared" si="8"/>
        <v>23.31</v>
      </c>
      <c r="N30" s="227">
        <v>-7</v>
      </c>
      <c r="O30" s="228">
        <v>0</v>
      </c>
      <c r="P30" s="229"/>
      <c r="Q30" s="230">
        <v>-0.8888888888888884</v>
      </c>
      <c r="R30" s="231">
        <v>2</v>
      </c>
      <c r="S30" s="232"/>
      <c r="T30" s="227">
        <v>1.0999999999999996</v>
      </c>
      <c r="U30" s="233">
        <v>2</v>
      </c>
      <c r="V30" s="229"/>
      <c r="W30" s="230">
        <v>-0.125</v>
      </c>
      <c r="X30" s="231">
        <v>2</v>
      </c>
      <c r="Y30" s="232"/>
      <c r="Z30" s="227">
        <v>9.1120000000000019</v>
      </c>
      <c r="AA30" s="233">
        <v>3</v>
      </c>
      <c r="AB30" s="229"/>
      <c r="AC30" s="230"/>
      <c r="AD30" s="231"/>
      <c r="AE30" s="232"/>
      <c r="AF30" s="227"/>
      <c r="AG30" s="233"/>
      <c r="AH30" s="229"/>
      <c r="AI30" s="230"/>
      <c r="AJ30" s="231"/>
      <c r="AK30" s="232"/>
      <c r="AL30" s="227"/>
      <c r="AM30" s="233"/>
      <c r="AN30" s="229"/>
      <c r="AO30" s="230"/>
      <c r="AP30" s="231"/>
      <c r="AQ30" s="232"/>
      <c r="AR30" s="227"/>
      <c r="AS30" s="233"/>
      <c r="AT30" s="229"/>
      <c r="AU30" s="230"/>
      <c r="AV30" s="231"/>
      <c r="AW30" s="232"/>
      <c r="AX30" s="227"/>
      <c r="AY30" s="233"/>
      <c r="AZ30" s="229"/>
      <c r="BA30" s="230"/>
      <c r="BB30" s="231"/>
      <c r="BC30" s="232"/>
      <c r="BD30" s="227"/>
      <c r="BE30" s="233"/>
      <c r="BF30" s="229"/>
      <c r="BG30" s="230"/>
      <c r="BH30" s="234"/>
      <c r="BI30" s="232"/>
      <c r="BJ30" s="227"/>
      <c r="BK30" s="233"/>
      <c r="BL30" s="229"/>
      <c r="BM30" s="230"/>
      <c r="BN30" s="234"/>
      <c r="BO30" s="232"/>
      <c r="BP30" s="227"/>
      <c r="BQ30" s="233"/>
      <c r="BR30" s="229"/>
      <c r="BS30" s="230"/>
      <c r="BT30" s="231"/>
      <c r="BU30" s="232"/>
      <c r="BV30" s="230">
        <f t="shared" si="4"/>
        <v>2.198111111111114</v>
      </c>
      <c r="BW30" s="231">
        <f t="shared" si="5"/>
        <v>9</v>
      </c>
      <c r="BX30" s="232">
        <f t="shared" si="6"/>
        <v>0</v>
      </c>
      <c r="BY30" s="48"/>
      <c r="DX30" s="49"/>
      <c r="DY30" s="49"/>
      <c r="EF30" s="46"/>
      <c r="EG30" s="46"/>
    </row>
    <row r="31" spans="1:137">
      <c r="A31" s="237">
        <f t="shared" si="0"/>
        <v>39</v>
      </c>
      <c r="B31" s="237">
        <f t="shared" si="1"/>
        <v>31</v>
      </c>
      <c r="C31" s="237"/>
      <c r="D31" s="281" t="str">
        <f>INDEX(Table!E:E,MATCH(E31,Table!F:F,0))</f>
        <v>A</v>
      </c>
      <c r="E31" s="223" t="s">
        <v>282</v>
      </c>
      <c r="F31" s="235">
        <f t="shared" si="2"/>
        <v>-25.028571428571432</v>
      </c>
      <c r="G31" s="54">
        <f t="shared" si="3"/>
        <v>5</v>
      </c>
      <c r="H31" s="677">
        <v>-5.15</v>
      </c>
      <c r="I31" s="678">
        <v>1</v>
      </c>
      <c r="J31" s="225">
        <f t="shared" si="7"/>
        <v>0</v>
      </c>
      <c r="K31" s="226"/>
      <c r="L31" s="226">
        <f>INDEX(Table!M:M,MATCH(E31,Table!F:F,0))</f>
        <v>0</v>
      </c>
      <c r="M31" s="225">
        <f t="shared" si="8"/>
        <v>0</v>
      </c>
      <c r="N31" s="227">
        <v>-3.9</v>
      </c>
      <c r="O31" s="228">
        <v>1</v>
      </c>
      <c r="P31" s="229"/>
      <c r="Q31" s="230">
        <v>-5.25</v>
      </c>
      <c r="R31" s="231">
        <v>1</v>
      </c>
      <c r="S31" s="232"/>
      <c r="T31" s="227">
        <v>-5.4285714285714288</v>
      </c>
      <c r="U31" s="233">
        <v>1</v>
      </c>
      <c r="V31" s="229"/>
      <c r="W31" s="230">
        <v>-5.3</v>
      </c>
      <c r="X31" s="231">
        <v>1</v>
      </c>
      <c r="Y31" s="232"/>
      <c r="Z31" s="227">
        <v>-5.15</v>
      </c>
      <c r="AA31" s="233">
        <v>1</v>
      </c>
      <c r="AB31" s="229"/>
      <c r="AC31" s="230"/>
      <c r="AD31" s="231"/>
      <c r="AE31" s="232"/>
      <c r="AF31" s="227"/>
      <c r="AG31" s="233"/>
      <c r="AH31" s="229"/>
      <c r="AI31" s="230"/>
      <c r="AJ31" s="231"/>
      <c r="AK31" s="232"/>
      <c r="AL31" s="227"/>
      <c r="AM31" s="233"/>
      <c r="AN31" s="229"/>
      <c r="AO31" s="230"/>
      <c r="AP31" s="231"/>
      <c r="AQ31" s="232"/>
      <c r="AR31" s="227"/>
      <c r="AS31" s="233"/>
      <c r="AT31" s="229"/>
      <c r="AU31" s="230"/>
      <c r="AV31" s="231"/>
      <c r="AW31" s="232"/>
      <c r="AX31" s="227"/>
      <c r="AY31" s="233"/>
      <c r="AZ31" s="229"/>
      <c r="BA31" s="230"/>
      <c r="BB31" s="231"/>
      <c r="BC31" s="232"/>
      <c r="BD31" s="227"/>
      <c r="BE31" s="233"/>
      <c r="BF31" s="229"/>
      <c r="BG31" s="230"/>
      <c r="BH31" s="234"/>
      <c r="BI31" s="232"/>
      <c r="BJ31" s="227"/>
      <c r="BK31" s="233"/>
      <c r="BL31" s="229"/>
      <c r="BM31" s="230"/>
      <c r="BN31" s="234"/>
      <c r="BO31" s="232"/>
      <c r="BP31" s="227"/>
      <c r="BQ31" s="233"/>
      <c r="BR31" s="229"/>
      <c r="BS31" s="230"/>
      <c r="BT31" s="231"/>
      <c r="BU31" s="232"/>
      <c r="BV31" s="230">
        <f t="shared" si="4"/>
        <v>-25.028571428571425</v>
      </c>
      <c r="BW31" s="231">
        <f t="shared" si="5"/>
        <v>5</v>
      </c>
      <c r="BX31" s="232">
        <f t="shared" si="6"/>
        <v>0</v>
      </c>
      <c r="BY31" s="48"/>
      <c r="DX31" s="49"/>
      <c r="DY31" s="49"/>
      <c r="EF31" s="46"/>
      <c r="EG31" s="46"/>
    </row>
    <row r="32" spans="1:137" ht="13.35" customHeight="1">
      <c r="A32" s="237">
        <f t="shared" si="0"/>
        <v>11</v>
      </c>
      <c r="B32" s="237">
        <f t="shared" si="1"/>
        <v>32</v>
      </c>
      <c r="C32" s="237"/>
      <c r="D32" s="281" t="str">
        <f>INDEX(Table!E:E,MATCH(E32,Table!F:F,0))</f>
        <v>B</v>
      </c>
      <c r="E32" s="223" t="s">
        <v>351</v>
      </c>
      <c r="F32" s="235">
        <f t="shared" si="2"/>
        <v>-2.9664646464646456</v>
      </c>
      <c r="G32" s="54">
        <f t="shared" si="3"/>
        <v>7</v>
      </c>
      <c r="H32" s="677">
        <v>-5.5555555555555554</v>
      </c>
      <c r="I32" s="678">
        <v>1</v>
      </c>
      <c r="J32" s="225">
        <f t="shared" si="7"/>
        <v>10</v>
      </c>
      <c r="K32" s="226"/>
      <c r="L32" s="226">
        <f>INDEX(Table!M:M,MATCH(E32,Table!F:F,0))</f>
        <v>9.0649999999999995</v>
      </c>
      <c r="M32" s="225">
        <f t="shared" si="8"/>
        <v>19.064999999999998</v>
      </c>
      <c r="N32" s="227">
        <v>6.0299999999999994</v>
      </c>
      <c r="O32" s="228">
        <v>2</v>
      </c>
      <c r="P32" s="229">
        <v>5</v>
      </c>
      <c r="Q32" s="230">
        <v>2.25</v>
      </c>
      <c r="R32" s="231">
        <v>2</v>
      </c>
      <c r="S32" s="232">
        <v>5</v>
      </c>
      <c r="T32" s="227">
        <v>1.3090909090909104</v>
      </c>
      <c r="U32" s="233">
        <v>2</v>
      </c>
      <c r="V32" s="229"/>
      <c r="W32" s="230">
        <v>-7</v>
      </c>
      <c r="X32" s="231">
        <v>0</v>
      </c>
      <c r="Y32" s="232"/>
      <c r="Z32" s="227">
        <v>-5.5555555555555554</v>
      </c>
      <c r="AA32" s="233">
        <v>1</v>
      </c>
      <c r="AB32" s="229"/>
      <c r="AC32" s="230"/>
      <c r="AD32" s="231"/>
      <c r="AE32" s="232"/>
      <c r="AF32" s="227"/>
      <c r="AG32" s="233"/>
      <c r="AH32" s="229"/>
      <c r="AI32" s="230"/>
      <c r="AJ32" s="231"/>
      <c r="AK32" s="232"/>
      <c r="AL32" s="227"/>
      <c r="AM32" s="233"/>
      <c r="AN32" s="229"/>
      <c r="AO32" s="230"/>
      <c r="AP32" s="231"/>
      <c r="AQ32" s="232"/>
      <c r="AR32" s="227"/>
      <c r="AS32" s="233"/>
      <c r="AT32" s="229"/>
      <c r="AU32" s="230"/>
      <c r="AV32" s="231"/>
      <c r="AW32" s="232"/>
      <c r="AX32" s="227"/>
      <c r="AY32" s="233"/>
      <c r="AZ32" s="229"/>
      <c r="BA32" s="230"/>
      <c r="BB32" s="231"/>
      <c r="BC32" s="232"/>
      <c r="BD32" s="227"/>
      <c r="BE32" s="233"/>
      <c r="BF32" s="229"/>
      <c r="BG32" s="230"/>
      <c r="BH32" s="234"/>
      <c r="BI32" s="232"/>
      <c r="BJ32" s="227"/>
      <c r="BK32" s="233"/>
      <c r="BL32" s="229"/>
      <c r="BM32" s="230"/>
      <c r="BN32" s="234"/>
      <c r="BO32" s="232"/>
      <c r="BP32" s="227"/>
      <c r="BQ32" s="233"/>
      <c r="BR32" s="229"/>
      <c r="BS32" s="230"/>
      <c r="BT32" s="231"/>
      <c r="BU32" s="232"/>
      <c r="BV32" s="230">
        <f t="shared" si="4"/>
        <v>-2.9664646464646456</v>
      </c>
      <c r="BW32" s="231">
        <f t="shared" si="5"/>
        <v>7</v>
      </c>
      <c r="BX32" s="232">
        <f t="shared" si="6"/>
        <v>10</v>
      </c>
      <c r="BY32" s="48"/>
      <c r="DX32" s="49"/>
      <c r="DY32" s="49"/>
      <c r="EF32" s="46"/>
      <c r="EG32" s="46"/>
    </row>
    <row r="33" spans="1:137">
      <c r="A33" s="237">
        <f t="shared" ref="A33:A45" si="9">_xlfn.RANK.EQ(F33,totalscores,0)</f>
        <v>33</v>
      </c>
      <c r="B33" s="237">
        <f t="shared" si="1"/>
        <v>34</v>
      </c>
      <c r="C33" s="237"/>
      <c r="D33" s="281" t="str">
        <f>INDEX(Table!E:E,MATCH(E33,Table!F:F,0))</f>
        <v>A</v>
      </c>
      <c r="E33" s="223" t="s">
        <v>294</v>
      </c>
      <c r="F33" s="235">
        <f t="shared" ref="F33:F45" si="10">+N33+Q33+T33+W33+Z33+AC33+AF33+AI33+AL33+AO33+AR33+AU33+AX33+BA33+BD33+BG33+BJ33+BM33+BP33+BS33</f>
        <v>-21.316666666666666</v>
      </c>
      <c r="G33" s="54">
        <f t="shared" ref="G33:G45" si="11">+O33+R33+U33+X33+AA33+AD33+AG33+AJ33+AM33+AP33+AS33+AV33+AY33+BB33+BE33+BH33+BK33+BN33+BQ33+BT33</f>
        <v>4</v>
      </c>
      <c r="H33" s="677">
        <v>-7</v>
      </c>
      <c r="I33" s="678">
        <v>0</v>
      </c>
      <c r="J33" s="225">
        <f t="shared" si="7"/>
        <v>0</v>
      </c>
      <c r="K33" s="226"/>
      <c r="L33" s="226">
        <f>INDEX(Table!M:M,MATCH(E33,Table!F:F,0))</f>
        <v>0</v>
      </c>
      <c r="M33" s="225">
        <f t="shared" si="8"/>
        <v>0</v>
      </c>
      <c r="N33" s="227">
        <v>-4.95</v>
      </c>
      <c r="O33" s="228">
        <v>1</v>
      </c>
      <c r="P33" s="229"/>
      <c r="Q33" s="230">
        <v>-5.1666666666666661</v>
      </c>
      <c r="R33" s="231">
        <v>1</v>
      </c>
      <c r="S33" s="232"/>
      <c r="T33" s="227">
        <v>2.8000000000000007</v>
      </c>
      <c r="U33" s="233">
        <v>2</v>
      </c>
      <c r="V33" s="229"/>
      <c r="W33" s="230">
        <v>-7</v>
      </c>
      <c r="X33" s="231">
        <v>0</v>
      </c>
      <c r="Y33" s="232"/>
      <c r="Z33" s="227">
        <v>-7</v>
      </c>
      <c r="AA33" s="233">
        <v>0</v>
      </c>
      <c r="AB33" s="229"/>
      <c r="AC33" s="230"/>
      <c r="AD33" s="231"/>
      <c r="AE33" s="232"/>
      <c r="AF33" s="227"/>
      <c r="AG33" s="233"/>
      <c r="AH33" s="229"/>
      <c r="AI33" s="230"/>
      <c r="AJ33" s="231"/>
      <c r="AK33" s="232"/>
      <c r="AL33" s="227"/>
      <c r="AM33" s="233"/>
      <c r="AN33" s="229"/>
      <c r="AO33" s="230"/>
      <c r="AP33" s="231"/>
      <c r="AQ33" s="232"/>
      <c r="AR33" s="227"/>
      <c r="AS33" s="233"/>
      <c r="AT33" s="229"/>
      <c r="AU33" s="230"/>
      <c r="AV33" s="231"/>
      <c r="AW33" s="232"/>
      <c r="AX33" s="227"/>
      <c r="AY33" s="233"/>
      <c r="AZ33" s="229"/>
      <c r="BA33" s="230"/>
      <c r="BB33" s="231"/>
      <c r="BC33" s="232"/>
      <c r="BD33" s="227"/>
      <c r="BE33" s="233"/>
      <c r="BF33" s="229"/>
      <c r="BG33" s="230"/>
      <c r="BH33" s="234"/>
      <c r="BI33" s="232"/>
      <c r="BJ33" s="227"/>
      <c r="BK33" s="233"/>
      <c r="BL33" s="229"/>
      <c r="BM33" s="230"/>
      <c r="BN33" s="234"/>
      <c r="BO33" s="232"/>
      <c r="BP33" s="227"/>
      <c r="BQ33" s="233"/>
      <c r="BR33" s="229"/>
      <c r="BS33" s="230"/>
      <c r="BT33" s="231"/>
      <c r="BU33" s="232"/>
      <c r="BV33" s="230">
        <f t="shared" ref="BV33:BV45" si="12">BS33+BP33+BM33+BJ33+BG33+BD33+BA33+AX33+AU33+AR33+AO33+AL33+AI33+AF33+AC33+Z33+W33+T33+Q33+N33</f>
        <v>-21.316666666666666</v>
      </c>
      <c r="BW33" s="231">
        <f t="shared" ref="BW33:BW45" si="13">BT33+BQ33+BN33+BK33+BH33+BE33+BB33+AY33+AV33+AS33+AP33+AM33+AJ33+AG33+AD33+AA33+X33+U33+R33+O33</f>
        <v>4</v>
      </c>
      <c r="BX33" s="232">
        <f t="shared" ref="BX33:BX45" si="14">BU33+BR33+BO33+BL33+BI33+BF33+BC33+AZ33+AW33+AT33+AQ33+AN33+AK33+AH33+AE33+AB33+Y33+V33+S33+P33</f>
        <v>0</v>
      </c>
      <c r="BY33" s="48"/>
      <c r="DX33" s="49"/>
      <c r="DY33" s="49"/>
      <c r="EF33" s="46"/>
      <c r="EG33" s="46"/>
    </row>
    <row r="34" spans="1:137">
      <c r="A34" s="237">
        <f t="shared" si="9"/>
        <v>13</v>
      </c>
      <c r="B34" s="237">
        <f t="shared" si="1"/>
        <v>22</v>
      </c>
      <c r="C34" s="237"/>
      <c r="D34" s="281" t="str">
        <f>INDEX(Table!E:E,MATCH(E34,Table!F:F,0))</f>
        <v>A</v>
      </c>
      <c r="E34" s="223" t="s">
        <v>277</v>
      </c>
      <c r="F34" s="235">
        <f t="shared" si="10"/>
        <v>-5.0166666666666648</v>
      </c>
      <c r="G34" s="54">
        <f t="shared" si="11"/>
        <v>5</v>
      </c>
      <c r="H34" s="677">
        <v>-1.8666666666666671</v>
      </c>
      <c r="I34" s="678">
        <v>2</v>
      </c>
      <c r="J34" s="225">
        <f t="shared" si="7"/>
        <v>10</v>
      </c>
      <c r="K34" s="226"/>
      <c r="L34" s="226">
        <f>INDEX(Table!M:M,MATCH(E34,Table!F:F,0))</f>
        <v>33.299999999999997</v>
      </c>
      <c r="M34" s="225">
        <f t="shared" si="8"/>
        <v>43.3</v>
      </c>
      <c r="N34" s="227">
        <v>-7</v>
      </c>
      <c r="O34" s="228">
        <v>0</v>
      </c>
      <c r="P34" s="229"/>
      <c r="Q34" s="230">
        <v>16.150000000000002</v>
      </c>
      <c r="R34" s="231">
        <v>2</v>
      </c>
      <c r="S34" s="232">
        <v>10</v>
      </c>
      <c r="T34" s="227">
        <v>-7</v>
      </c>
      <c r="U34" s="233">
        <v>0</v>
      </c>
      <c r="V34" s="229"/>
      <c r="W34" s="230">
        <v>-5.3</v>
      </c>
      <c r="X34" s="231">
        <v>1</v>
      </c>
      <c r="Y34" s="232"/>
      <c r="Z34" s="227">
        <v>-1.8666666666666671</v>
      </c>
      <c r="AA34" s="233">
        <v>2</v>
      </c>
      <c r="AB34" s="229"/>
      <c r="AC34" s="230"/>
      <c r="AD34" s="231"/>
      <c r="AE34" s="232"/>
      <c r="AF34" s="227"/>
      <c r="AG34" s="233"/>
      <c r="AH34" s="229"/>
      <c r="AI34" s="230"/>
      <c r="AJ34" s="231"/>
      <c r="AK34" s="232"/>
      <c r="AL34" s="227"/>
      <c r="AM34" s="233"/>
      <c r="AN34" s="229"/>
      <c r="AO34" s="230"/>
      <c r="AP34" s="231"/>
      <c r="AQ34" s="232"/>
      <c r="AR34" s="227"/>
      <c r="AS34" s="233"/>
      <c r="AT34" s="229"/>
      <c r="AU34" s="230"/>
      <c r="AV34" s="231"/>
      <c r="AW34" s="232"/>
      <c r="AX34" s="227"/>
      <c r="AY34" s="233"/>
      <c r="AZ34" s="229"/>
      <c r="BA34" s="230"/>
      <c r="BB34" s="231"/>
      <c r="BC34" s="232"/>
      <c r="BD34" s="227"/>
      <c r="BE34" s="233"/>
      <c r="BF34" s="229"/>
      <c r="BG34" s="230"/>
      <c r="BH34" s="234"/>
      <c r="BI34" s="232"/>
      <c r="BJ34" s="227"/>
      <c r="BK34" s="233"/>
      <c r="BL34" s="229"/>
      <c r="BM34" s="230"/>
      <c r="BN34" s="234"/>
      <c r="BO34" s="232"/>
      <c r="BP34" s="227"/>
      <c r="BQ34" s="233"/>
      <c r="BR34" s="229"/>
      <c r="BS34" s="230"/>
      <c r="BT34" s="231"/>
      <c r="BU34" s="232"/>
      <c r="BV34" s="230">
        <f t="shared" si="12"/>
        <v>-5.0166666666666657</v>
      </c>
      <c r="BW34" s="231">
        <f t="shared" si="13"/>
        <v>5</v>
      </c>
      <c r="BX34" s="232">
        <f t="shared" si="14"/>
        <v>10</v>
      </c>
      <c r="BY34" s="48"/>
      <c r="DX34" s="49"/>
      <c r="DY34" s="49"/>
      <c r="EF34" s="46"/>
      <c r="EG34" s="46"/>
    </row>
    <row r="35" spans="1:137">
      <c r="A35" s="237">
        <f t="shared" si="9"/>
        <v>38</v>
      </c>
      <c r="B35" s="237">
        <f t="shared" si="1"/>
        <v>23</v>
      </c>
      <c r="C35" s="237"/>
      <c r="D35" s="281" t="str">
        <f>INDEX(Table!E:E,MATCH(E35,Table!F:F,0))</f>
        <v>A</v>
      </c>
      <c r="E35" s="223" t="s">
        <v>268</v>
      </c>
      <c r="F35" s="235">
        <f t="shared" si="10"/>
        <v>-23.849999999999998</v>
      </c>
      <c r="G35" s="54">
        <f t="shared" si="11"/>
        <v>4</v>
      </c>
      <c r="H35" s="677">
        <v>-3.8</v>
      </c>
      <c r="I35" s="678">
        <v>1</v>
      </c>
      <c r="J35" s="225">
        <f t="shared" si="7"/>
        <v>0</v>
      </c>
      <c r="K35" s="226"/>
      <c r="L35" s="226">
        <f>INDEX(Table!M:M,MATCH(E35,Table!F:F,0))</f>
        <v>0</v>
      </c>
      <c r="M35" s="225">
        <f t="shared" si="8"/>
        <v>0</v>
      </c>
      <c r="N35" s="227">
        <v>-4.2</v>
      </c>
      <c r="O35" s="228">
        <v>1</v>
      </c>
      <c r="P35" s="229"/>
      <c r="Q35" s="230">
        <v>-7</v>
      </c>
      <c r="R35" s="231">
        <v>0</v>
      </c>
      <c r="S35" s="232"/>
      <c r="T35" s="227">
        <v>-4.95</v>
      </c>
      <c r="U35" s="233">
        <v>1</v>
      </c>
      <c r="V35" s="229"/>
      <c r="W35" s="230">
        <v>-3.9</v>
      </c>
      <c r="X35" s="231">
        <v>1</v>
      </c>
      <c r="Y35" s="232"/>
      <c r="Z35" s="227">
        <v>-3.8</v>
      </c>
      <c r="AA35" s="233">
        <v>1</v>
      </c>
      <c r="AB35" s="229"/>
      <c r="AC35" s="230"/>
      <c r="AD35" s="231"/>
      <c r="AE35" s="232"/>
      <c r="AF35" s="227"/>
      <c r="AG35" s="233"/>
      <c r="AH35" s="229"/>
      <c r="AI35" s="230"/>
      <c r="AJ35" s="231"/>
      <c r="AK35" s="232"/>
      <c r="AL35" s="227"/>
      <c r="AM35" s="233"/>
      <c r="AN35" s="229"/>
      <c r="AO35" s="230"/>
      <c r="AP35" s="231"/>
      <c r="AQ35" s="232"/>
      <c r="AR35" s="227"/>
      <c r="AS35" s="233"/>
      <c r="AT35" s="229"/>
      <c r="AU35" s="230"/>
      <c r="AV35" s="231"/>
      <c r="AW35" s="232"/>
      <c r="AX35" s="227"/>
      <c r="AY35" s="233"/>
      <c r="AZ35" s="229"/>
      <c r="BA35" s="230"/>
      <c r="BB35" s="231"/>
      <c r="BC35" s="232"/>
      <c r="BD35" s="227"/>
      <c r="BE35" s="233"/>
      <c r="BF35" s="229"/>
      <c r="BG35" s="230"/>
      <c r="BH35" s="234"/>
      <c r="BI35" s="232"/>
      <c r="BJ35" s="227"/>
      <c r="BK35" s="233"/>
      <c r="BL35" s="229"/>
      <c r="BM35" s="230"/>
      <c r="BN35" s="234"/>
      <c r="BO35" s="232"/>
      <c r="BP35" s="227"/>
      <c r="BQ35" s="233"/>
      <c r="BR35" s="229"/>
      <c r="BS35" s="230"/>
      <c r="BT35" s="231"/>
      <c r="BU35" s="232"/>
      <c r="BV35" s="230">
        <f t="shared" si="12"/>
        <v>-23.849999999999998</v>
      </c>
      <c r="BW35" s="231">
        <f t="shared" si="13"/>
        <v>4</v>
      </c>
      <c r="BX35" s="232">
        <f t="shared" si="14"/>
        <v>0</v>
      </c>
      <c r="BY35" s="48"/>
      <c r="BZ35" s="48"/>
      <c r="DX35" s="49"/>
      <c r="DY35" s="49"/>
      <c r="EF35" s="46"/>
      <c r="EG35" s="46"/>
    </row>
    <row r="36" spans="1:137">
      <c r="A36" s="237">
        <f t="shared" si="9"/>
        <v>23</v>
      </c>
      <c r="B36" s="237">
        <f t="shared" si="1"/>
        <v>19</v>
      </c>
      <c r="C36" s="237"/>
      <c r="D36" s="281" t="str">
        <f>INDEX(Table!E:E,MATCH(E36,Table!F:F,0))</f>
        <v>C</v>
      </c>
      <c r="E36" s="223" t="s">
        <v>286</v>
      </c>
      <c r="F36" s="235">
        <f t="shared" si="10"/>
        <v>-14.288888888888888</v>
      </c>
      <c r="G36" s="54">
        <f t="shared" si="11"/>
        <v>6</v>
      </c>
      <c r="H36" s="677">
        <v>-0.8888888888888884</v>
      </c>
      <c r="I36" s="678">
        <v>2</v>
      </c>
      <c r="J36" s="225">
        <f t="shared" si="7"/>
        <v>5</v>
      </c>
      <c r="K36" s="226"/>
      <c r="L36" s="226">
        <f>INDEX(Table!M:M,MATCH(E36,Table!F:F,0))</f>
        <v>0</v>
      </c>
      <c r="M36" s="225">
        <f t="shared" si="8"/>
        <v>5</v>
      </c>
      <c r="N36" s="227">
        <v>-4.95</v>
      </c>
      <c r="O36" s="228">
        <v>1</v>
      </c>
      <c r="P36" s="229"/>
      <c r="Q36" s="230">
        <v>-5.2</v>
      </c>
      <c r="R36" s="231">
        <v>1</v>
      </c>
      <c r="S36" s="232"/>
      <c r="T36" s="227">
        <v>3.75</v>
      </c>
      <c r="U36" s="233">
        <v>2</v>
      </c>
      <c r="V36" s="229">
        <v>5</v>
      </c>
      <c r="W36" s="230">
        <v>-7</v>
      </c>
      <c r="X36" s="231">
        <v>0</v>
      </c>
      <c r="Y36" s="232"/>
      <c r="Z36" s="227">
        <v>-0.8888888888888884</v>
      </c>
      <c r="AA36" s="233">
        <v>2</v>
      </c>
      <c r="AB36" s="229"/>
      <c r="AC36" s="230"/>
      <c r="AD36" s="231"/>
      <c r="AE36" s="232"/>
      <c r="AF36" s="227"/>
      <c r="AG36" s="233"/>
      <c r="AH36" s="229"/>
      <c r="AI36" s="230"/>
      <c r="AJ36" s="231"/>
      <c r="AK36" s="232"/>
      <c r="AL36" s="227"/>
      <c r="AM36" s="233"/>
      <c r="AN36" s="229"/>
      <c r="AO36" s="230"/>
      <c r="AP36" s="231"/>
      <c r="AQ36" s="232"/>
      <c r="AR36" s="227"/>
      <c r="AS36" s="233"/>
      <c r="AT36" s="229"/>
      <c r="AU36" s="230"/>
      <c r="AV36" s="231"/>
      <c r="AW36" s="232"/>
      <c r="AX36" s="227"/>
      <c r="AY36" s="233"/>
      <c r="AZ36" s="229"/>
      <c r="BA36" s="230"/>
      <c r="BB36" s="231"/>
      <c r="BC36" s="232"/>
      <c r="BD36" s="227"/>
      <c r="BE36" s="233"/>
      <c r="BF36" s="229"/>
      <c r="BG36" s="230"/>
      <c r="BH36" s="234"/>
      <c r="BI36" s="232"/>
      <c r="BJ36" s="227"/>
      <c r="BK36" s="233"/>
      <c r="BL36" s="229"/>
      <c r="BM36" s="230"/>
      <c r="BN36" s="234"/>
      <c r="BO36" s="232"/>
      <c r="BP36" s="227"/>
      <c r="BQ36" s="233"/>
      <c r="BR36" s="229"/>
      <c r="BS36" s="230"/>
      <c r="BT36" s="231"/>
      <c r="BU36" s="232"/>
      <c r="BV36" s="230">
        <f t="shared" si="12"/>
        <v>-14.288888888888888</v>
      </c>
      <c r="BW36" s="231">
        <f t="shared" si="13"/>
        <v>6</v>
      </c>
      <c r="BX36" s="232">
        <f t="shared" si="14"/>
        <v>5</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37">
        <f t="shared" si="9"/>
        <v>5</v>
      </c>
      <c r="B37" s="237">
        <f t="shared" si="1"/>
        <v>4</v>
      </c>
      <c r="C37" s="237"/>
      <c r="D37" s="281" t="str">
        <f>INDEX(Table!E:E,MATCH(E37,Table!F:F,0))</f>
        <v>C</v>
      </c>
      <c r="E37" s="223" t="s">
        <v>290</v>
      </c>
      <c r="F37" s="235">
        <f t="shared" si="10"/>
        <v>12.430000000000003</v>
      </c>
      <c r="G37" s="54">
        <f t="shared" si="11"/>
        <v>6</v>
      </c>
      <c r="H37" s="677">
        <v>11.270000000000003</v>
      </c>
      <c r="I37" s="678">
        <v>2</v>
      </c>
      <c r="J37" s="225">
        <f t="shared" si="7"/>
        <v>15</v>
      </c>
      <c r="K37" s="226"/>
      <c r="L37" s="226">
        <f>INDEX(Table!M:M,MATCH(E37,Table!F:F,0))</f>
        <v>13.875</v>
      </c>
      <c r="M37" s="225">
        <f t="shared" si="8"/>
        <v>28.875</v>
      </c>
      <c r="N37" s="227">
        <v>12</v>
      </c>
      <c r="O37" s="228">
        <v>2</v>
      </c>
      <c r="P37" s="229">
        <v>5</v>
      </c>
      <c r="Q37" s="230">
        <v>3.16</v>
      </c>
      <c r="R37" s="231">
        <v>2</v>
      </c>
      <c r="S37" s="232">
        <v>5</v>
      </c>
      <c r="T37" s="227">
        <v>-7</v>
      </c>
      <c r="U37" s="233">
        <v>0</v>
      </c>
      <c r="V37" s="229"/>
      <c r="W37" s="230">
        <v>-7</v>
      </c>
      <c r="X37" s="231">
        <v>0</v>
      </c>
      <c r="Y37" s="232"/>
      <c r="Z37" s="227">
        <v>11.270000000000003</v>
      </c>
      <c r="AA37" s="233">
        <v>2</v>
      </c>
      <c r="AB37" s="229">
        <v>5</v>
      </c>
      <c r="AC37" s="230"/>
      <c r="AD37" s="231"/>
      <c r="AE37" s="232"/>
      <c r="AF37" s="227"/>
      <c r="AG37" s="233"/>
      <c r="AH37" s="229"/>
      <c r="AI37" s="230"/>
      <c r="AJ37" s="231"/>
      <c r="AK37" s="232"/>
      <c r="AL37" s="227"/>
      <c r="AM37" s="233"/>
      <c r="AN37" s="229"/>
      <c r="AO37" s="230"/>
      <c r="AP37" s="231"/>
      <c r="AQ37" s="232"/>
      <c r="AR37" s="227"/>
      <c r="AS37" s="233"/>
      <c r="AT37" s="229"/>
      <c r="AU37" s="230"/>
      <c r="AV37" s="231"/>
      <c r="AW37" s="232"/>
      <c r="AX37" s="227"/>
      <c r="AY37" s="233"/>
      <c r="AZ37" s="229"/>
      <c r="BA37" s="230"/>
      <c r="BB37" s="231"/>
      <c r="BC37" s="232"/>
      <c r="BD37" s="227"/>
      <c r="BE37" s="233"/>
      <c r="BF37" s="229"/>
      <c r="BG37" s="230"/>
      <c r="BH37" s="234"/>
      <c r="BI37" s="232"/>
      <c r="BJ37" s="227"/>
      <c r="BK37" s="233"/>
      <c r="BL37" s="229"/>
      <c r="BM37" s="230"/>
      <c r="BN37" s="234"/>
      <c r="BO37" s="232"/>
      <c r="BP37" s="227"/>
      <c r="BQ37" s="233"/>
      <c r="BR37" s="229"/>
      <c r="BS37" s="230"/>
      <c r="BT37" s="231"/>
      <c r="BU37" s="232"/>
      <c r="BV37" s="230">
        <f t="shared" si="12"/>
        <v>12.430000000000003</v>
      </c>
      <c r="BW37" s="231">
        <f t="shared" si="13"/>
        <v>6</v>
      </c>
      <c r="BX37" s="232">
        <f t="shared" si="14"/>
        <v>15</v>
      </c>
      <c r="BY37" s="48"/>
      <c r="DX37" s="49"/>
      <c r="DY37" s="49"/>
      <c r="EF37" s="46"/>
      <c r="EG37" s="46"/>
    </row>
    <row r="38" spans="1:137">
      <c r="A38" s="237">
        <f t="shared" si="9"/>
        <v>32</v>
      </c>
      <c r="B38" s="237">
        <f t="shared" si="1"/>
        <v>34</v>
      </c>
      <c r="C38" s="237"/>
      <c r="D38" s="281" t="str">
        <f>INDEX(Table!E:E,MATCH(E38,Table!F:F,0))</f>
        <v>B</v>
      </c>
      <c r="E38" s="223" t="s">
        <v>299</v>
      </c>
      <c r="F38" s="235">
        <f t="shared" si="10"/>
        <v>-20.305</v>
      </c>
      <c r="G38" s="54">
        <f t="shared" si="11"/>
        <v>4</v>
      </c>
      <c r="H38" s="677">
        <v>-7</v>
      </c>
      <c r="I38" s="678">
        <v>0</v>
      </c>
      <c r="J38" s="225">
        <f t="shared" si="7"/>
        <v>0</v>
      </c>
      <c r="K38" s="226"/>
      <c r="L38" s="226">
        <f>INDEX(Table!M:M,MATCH(E38,Table!F:F,0))</f>
        <v>0</v>
      </c>
      <c r="M38" s="225">
        <f t="shared" si="8"/>
        <v>0</v>
      </c>
      <c r="N38" s="227">
        <v>0.40749999999999975</v>
      </c>
      <c r="O38" s="228">
        <v>2</v>
      </c>
      <c r="P38" s="229"/>
      <c r="Q38" s="230">
        <v>-7</v>
      </c>
      <c r="R38" s="231">
        <v>0</v>
      </c>
      <c r="S38" s="232"/>
      <c r="T38" s="227">
        <v>0.28749999999999964</v>
      </c>
      <c r="U38" s="233">
        <v>2</v>
      </c>
      <c r="V38" s="229"/>
      <c r="W38" s="230">
        <v>-7</v>
      </c>
      <c r="X38" s="231">
        <v>0</v>
      </c>
      <c r="Y38" s="232"/>
      <c r="Z38" s="227">
        <v>-7</v>
      </c>
      <c r="AA38" s="233">
        <v>0</v>
      </c>
      <c r="AB38" s="229"/>
      <c r="AC38" s="230"/>
      <c r="AD38" s="231"/>
      <c r="AE38" s="232"/>
      <c r="AF38" s="227"/>
      <c r="AG38" s="233"/>
      <c r="AH38" s="229"/>
      <c r="AI38" s="230"/>
      <c r="AJ38" s="231"/>
      <c r="AK38" s="232"/>
      <c r="AL38" s="227"/>
      <c r="AM38" s="233"/>
      <c r="AN38" s="229"/>
      <c r="AO38" s="230"/>
      <c r="AP38" s="231"/>
      <c r="AQ38" s="232"/>
      <c r="AR38" s="227"/>
      <c r="AS38" s="233"/>
      <c r="AT38" s="229"/>
      <c r="AU38" s="230"/>
      <c r="AV38" s="231"/>
      <c r="AW38" s="232"/>
      <c r="AX38" s="227"/>
      <c r="AY38" s="233"/>
      <c r="AZ38" s="229"/>
      <c r="BA38" s="230"/>
      <c r="BB38" s="231"/>
      <c r="BC38" s="232"/>
      <c r="BD38" s="227"/>
      <c r="BE38" s="233"/>
      <c r="BF38" s="229"/>
      <c r="BG38" s="230"/>
      <c r="BH38" s="234"/>
      <c r="BI38" s="232"/>
      <c r="BJ38" s="227"/>
      <c r="BK38" s="233"/>
      <c r="BL38" s="229"/>
      <c r="BM38" s="230"/>
      <c r="BN38" s="234"/>
      <c r="BO38" s="232"/>
      <c r="BP38" s="227"/>
      <c r="BQ38" s="233"/>
      <c r="BR38" s="229"/>
      <c r="BS38" s="230"/>
      <c r="BT38" s="231"/>
      <c r="BU38" s="232"/>
      <c r="BV38" s="230">
        <f t="shared" si="12"/>
        <v>-20.305</v>
      </c>
      <c r="BW38" s="231">
        <f t="shared" si="13"/>
        <v>4</v>
      </c>
      <c r="BX38" s="232">
        <f t="shared" si="14"/>
        <v>0</v>
      </c>
      <c r="BY38" s="48"/>
      <c r="DX38" s="49"/>
      <c r="DY38" s="49"/>
      <c r="EF38" s="46"/>
      <c r="EG38" s="46"/>
    </row>
    <row r="39" spans="1:137">
      <c r="A39" s="237">
        <f t="shared" si="9"/>
        <v>24</v>
      </c>
      <c r="B39" s="237">
        <f t="shared" si="1"/>
        <v>20</v>
      </c>
      <c r="C39" s="237"/>
      <c r="D39" s="281" t="str">
        <f>INDEX(Table!E:E,MATCH(E39,Table!F:F,0))</f>
        <v>A</v>
      </c>
      <c r="E39" s="223" t="s">
        <v>289</v>
      </c>
      <c r="F39" s="235">
        <f t="shared" si="10"/>
        <v>-14.449494949494948</v>
      </c>
      <c r="G39" s="54">
        <f t="shared" si="11"/>
        <v>7</v>
      </c>
      <c r="H39" s="677">
        <v>-0.88888888888888928</v>
      </c>
      <c r="I39" s="678">
        <v>2</v>
      </c>
      <c r="J39" s="225">
        <f t="shared" si="7"/>
        <v>0</v>
      </c>
      <c r="K39" s="226"/>
      <c r="L39" s="226">
        <f>INDEX(Table!M:M,MATCH(E39,Table!F:F,0))</f>
        <v>0</v>
      </c>
      <c r="M39" s="225">
        <f t="shared" si="8"/>
        <v>0</v>
      </c>
      <c r="N39" s="227">
        <v>-0.66666666666666696</v>
      </c>
      <c r="O39" s="228">
        <v>2</v>
      </c>
      <c r="P39" s="229"/>
      <c r="Q39" s="230">
        <v>-5.1666666666666661</v>
      </c>
      <c r="R39" s="231">
        <v>1</v>
      </c>
      <c r="S39" s="232"/>
      <c r="T39" s="227">
        <v>-7</v>
      </c>
      <c r="U39" s="233">
        <v>0</v>
      </c>
      <c r="V39" s="229"/>
      <c r="W39" s="230">
        <v>-0.72727272727272663</v>
      </c>
      <c r="X39" s="231">
        <v>2</v>
      </c>
      <c r="Y39" s="232"/>
      <c r="Z39" s="227">
        <v>-0.88888888888888928</v>
      </c>
      <c r="AA39" s="233">
        <v>2</v>
      </c>
      <c r="AB39" s="229"/>
      <c r="AC39" s="230"/>
      <c r="AD39" s="231"/>
      <c r="AE39" s="232"/>
      <c r="AF39" s="227"/>
      <c r="AG39" s="233"/>
      <c r="AH39" s="229"/>
      <c r="AI39" s="230"/>
      <c r="AJ39" s="231"/>
      <c r="AK39" s="232"/>
      <c r="AL39" s="227"/>
      <c r="AM39" s="233"/>
      <c r="AN39" s="229"/>
      <c r="AO39" s="230"/>
      <c r="AP39" s="231"/>
      <c r="AQ39" s="232"/>
      <c r="AR39" s="227"/>
      <c r="AS39" s="233"/>
      <c r="AT39" s="229"/>
      <c r="AU39" s="230"/>
      <c r="AV39" s="231"/>
      <c r="AW39" s="232"/>
      <c r="AX39" s="227"/>
      <c r="AY39" s="233"/>
      <c r="AZ39" s="229"/>
      <c r="BA39" s="230"/>
      <c r="BB39" s="231"/>
      <c r="BC39" s="232"/>
      <c r="BD39" s="227"/>
      <c r="BE39" s="233"/>
      <c r="BF39" s="229"/>
      <c r="BG39" s="230"/>
      <c r="BH39" s="234"/>
      <c r="BI39" s="232"/>
      <c r="BJ39" s="227"/>
      <c r="BK39" s="233"/>
      <c r="BL39" s="229"/>
      <c r="BM39" s="230"/>
      <c r="BN39" s="234"/>
      <c r="BO39" s="232"/>
      <c r="BP39" s="227"/>
      <c r="BQ39" s="233"/>
      <c r="BR39" s="229"/>
      <c r="BS39" s="230"/>
      <c r="BT39" s="231"/>
      <c r="BU39" s="232"/>
      <c r="BV39" s="230">
        <f t="shared" si="12"/>
        <v>-14.449494949494948</v>
      </c>
      <c r="BW39" s="231">
        <f t="shared" si="13"/>
        <v>7</v>
      </c>
      <c r="BX39" s="232">
        <f t="shared" si="14"/>
        <v>0</v>
      </c>
      <c r="BY39" s="48"/>
      <c r="DX39" s="49"/>
      <c r="DY39" s="49"/>
      <c r="EF39" s="46"/>
      <c r="EG39" s="46"/>
    </row>
    <row r="40" spans="1:137">
      <c r="A40" s="237">
        <f t="shared" si="9"/>
        <v>1</v>
      </c>
      <c r="B40" s="237">
        <f t="shared" si="1"/>
        <v>8</v>
      </c>
      <c r="C40" s="237"/>
      <c r="D40" s="281" t="str">
        <f>INDEX(Table!E:E,MATCH(E40,Table!F:F,0))</f>
        <v>A</v>
      </c>
      <c r="E40" s="223" t="s">
        <v>291</v>
      </c>
      <c r="F40" s="235">
        <f t="shared" si="10"/>
        <v>27.800000000000004</v>
      </c>
      <c r="G40" s="54">
        <f t="shared" si="11"/>
        <v>7</v>
      </c>
      <c r="H40" s="677">
        <v>5.6</v>
      </c>
      <c r="I40" s="678">
        <v>2</v>
      </c>
      <c r="J40" s="225">
        <f t="shared" si="7"/>
        <v>10</v>
      </c>
      <c r="K40" s="226"/>
      <c r="L40" s="226">
        <f>INDEX(Table!M:M,MATCH(E40,Table!F:F,0))</f>
        <v>64.75</v>
      </c>
      <c r="M40" s="225">
        <f t="shared" si="8"/>
        <v>74.75</v>
      </c>
      <c r="N40" s="227">
        <v>-5</v>
      </c>
      <c r="O40" s="228">
        <v>1</v>
      </c>
      <c r="P40" s="229"/>
      <c r="Q40" s="230">
        <v>-1</v>
      </c>
      <c r="R40" s="231">
        <v>1</v>
      </c>
      <c r="S40" s="232"/>
      <c r="T40" s="227">
        <v>35.200000000000003</v>
      </c>
      <c r="U40" s="233">
        <v>3</v>
      </c>
      <c r="V40" s="229">
        <v>10</v>
      </c>
      <c r="W40" s="230">
        <v>-7</v>
      </c>
      <c r="X40" s="231">
        <v>0</v>
      </c>
      <c r="Y40" s="232"/>
      <c r="Z40" s="227">
        <v>5.6</v>
      </c>
      <c r="AA40" s="233">
        <v>2</v>
      </c>
      <c r="AB40" s="229"/>
      <c r="AC40" s="230"/>
      <c r="AD40" s="231"/>
      <c r="AE40" s="232"/>
      <c r="AF40" s="227"/>
      <c r="AG40" s="233"/>
      <c r="AH40" s="229"/>
      <c r="AI40" s="230"/>
      <c r="AJ40" s="231"/>
      <c r="AK40" s="232"/>
      <c r="AL40" s="227"/>
      <c r="AM40" s="233"/>
      <c r="AN40" s="229"/>
      <c r="AO40" s="230"/>
      <c r="AP40" s="231"/>
      <c r="AQ40" s="232"/>
      <c r="AR40" s="227"/>
      <c r="AS40" s="233"/>
      <c r="AT40" s="229"/>
      <c r="AU40" s="230"/>
      <c r="AV40" s="231"/>
      <c r="AW40" s="232"/>
      <c r="AX40" s="227"/>
      <c r="AY40" s="233"/>
      <c r="AZ40" s="229"/>
      <c r="BA40" s="230"/>
      <c r="BB40" s="231"/>
      <c r="BC40" s="232"/>
      <c r="BD40" s="227"/>
      <c r="BE40" s="233"/>
      <c r="BF40" s="229"/>
      <c r="BG40" s="230"/>
      <c r="BH40" s="234"/>
      <c r="BI40" s="232"/>
      <c r="BJ40" s="227"/>
      <c r="BK40" s="233"/>
      <c r="BL40" s="229"/>
      <c r="BM40" s="230"/>
      <c r="BN40" s="234"/>
      <c r="BO40" s="232"/>
      <c r="BP40" s="227"/>
      <c r="BQ40" s="233"/>
      <c r="BR40" s="229"/>
      <c r="BS40" s="230"/>
      <c r="BT40" s="231"/>
      <c r="BU40" s="232"/>
      <c r="BV40" s="230">
        <f t="shared" si="12"/>
        <v>27.800000000000004</v>
      </c>
      <c r="BW40" s="231">
        <f t="shared" si="13"/>
        <v>7</v>
      </c>
      <c r="BX40" s="232">
        <f t="shared" si="14"/>
        <v>10</v>
      </c>
      <c r="BY40" s="48"/>
      <c r="DX40" s="49"/>
      <c r="DY40" s="49"/>
      <c r="EF40" s="46"/>
      <c r="EG40" s="46"/>
    </row>
    <row r="41" spans="1:137">
      <c r="A41" s="237">
        <f t="shared" si="9"/>
        <v>43</v>
      </c>
      <c r="B41" s="237">
        <f t="shared" si="1"/>
        <v>26</v>
      </c>
      <c r="C41" s="237"/>
      <c r="D41" s="281" t="str">
        <f>INDEX(Table!E:E,MATCH(E41,Table!F:F,0))</f>
        <v>A</v>
      </c>
      <c r="E41" s="223" t="s">
        <v>269</v>
      </c>
      <c r="F41" s="235">
        <f t="shared" si="10"/>
        <v>-29.090909090909086</v>
      </c>
      <c r="G41" s="54">
        <f t="shared" si="11"/>
        <v>3</v>
      </c>
      <c r="H41" s="677">
        <v>-4.8499999999999996</v>
      </c>
      <c r="I41" s="678">
        <v>1</v>
      </c>
      <c r="J41" s="225">
        <f t="shared" si="7"/>
        <v>0</v>
      </c>
      <c r="K41" s="226"/>
      <c r="L41" s="226">
        <f>INDEX(Table!M:M,MATCH(E41,Table!F:F,0))</f>
        <v>0</v>
      </c>
      <c r="M41" s="225">
        <f t="shared" si="8"/>
        <v>0</v>
      </c>
      <c r="N41" s="227">
        <v>-5.15</v>
      </c>
      <c r="O41" s="228">
        <v>1</v>
      </c>
      <c r="P41" s="229"/>
      <c r="Q41" s="230">
        <v>-7</v>
      </c>
      <c r="R41" s="231">
        <v>0</v>
      </c>
      <c r="S41" s="232"/>
      <c r="T41" s="227">
        <v>-7</v>
      </c>
      <c r="U41" s="233">
        <v>0</v>
      </c>
      <c r="V41" s="229"/>
      <c r="W41" s="230">
        <v>-5.0909090909090908</v>
      </c>
      <c r="X41" s="231">
        <v>1</v>
      </c>
      <c r="Y41" s="232"/>
      <c r="Z41" s="227">
        <v>-4.8499999999999996</v>
      </c>
      <c r="AA41" s="233">
        <v>1</v>
      </c>
      <c r="AB41" s="229"/>
      <c r="AC41" s="230"/>
      <c r="AD41" s="231"/>
      <c r="AE41" s="232"/>
      <c r="AF41" s="227"/>
      <c r="AG41" s="233"/>
      <c r="AH41" s="229"/>
      <c r="AI41" s="230"/>
      <c r="AJ41" s="231"/>
      <c r="AK41" s="232"/>
      <c r="AL41" s="227"/>
      <c r="AM41" s="233"/>
      <c r="AN41" s="229"/>
      <c r="AO41" s="230"/>
      <c r="AP41" s="231"/>
      <c r="AQ41" s="232"/>
      <c r="AR41" s="227"/>
      <c r="AS41" s="233"/>
      <c r="AT41" s="229"/>
      <c r="AU41" s="230"/>
      <c r="AV41" s="231"/>
      <c r="AW41" s="232"/>
      <c r="AX41" s="227"/>
      <c r="AY41" s="233"/>
      <c r="AZ41" s="229"/>
      <c r="BA41" s="230"/>
      <c r="BB41" s="231"/>
      <c r="BC41" s="232"/>
      <c r="BD41" s="227"/>
      <c r="BE41" s="233"/>
      <c r="BF41" s="229"/>
      <c r="BG41" s="230"/>
      <c r="BH41" s="234"/>
      <c r="BI41" s="232"/>
      <c r="BJ41" s="227"/>
      <c r="BK41" s="233"/>
      <c r="BL41" s="229"/>
      <c r="BM41" s="230"/>
      <c r="BN41" s="234"/>
      <c r="BO41" s="232"/>
      <c r="BP41" s="227"/>
      <c r="BQ41" s="233"/>
      <c r="BR41" s="229"/>
      <c r="BS41" s="230"/>
      <c r="BT41" s="231"/>
      <c r="BU41" s="232"/>
      <c r="BV41" s="230">
        <f t="shared" si="12"/>
        <v>-29.090909090909093</v>
      </c>
      <c r="BW41" s="231">
        <f t="shared" si="13"/>
        <v>3</v>
      </c>
      <c r="BX41" s="232">
        <f t="shared" si="14"/>
        <v>0</v>
      </c>
      <c r="BY41" s="48"/>
      <c r="DX41" s="49"/>
      <c r="DY41" s="49"/>
      <c r="EF41" s="46"/>
      <c r="EG41" s="46"/>
    </row>
    <row r="42" spans="1:137">
      <c r="A42" s="237">
        <f t="shared" si="9"/>
        <v>21</v>
      </c>
      <c r="B42" s="237">
        <f t="shared" si="1"/>
        <v>11</v>
      </c>
      <c r="C42" s="237"/>
      <c r="D42" s="281" t="str">
        <f>INDEX(Table!E:E,MATCH(E42,Table!F:F,0))</f>
        <v>C</v>
      </c>
      <c r="E42" s="223" t="s">
        <v>271</v>
      </c>
      <c r="F42" s="235">
        <f t="shared" si="10"/>
        <v>-12.134999999999998</v>
      </c>
      <c r="G42" s="54">
        <f t="shared" si="11"/>
        <v>6</v>
      </c>
      <c r="H42" s="677">
        <v>2.7100000000000009</v>
      </c>
      <c r="I42" s="678">
        <v>2</v>
      </c>
      <c r="J42" s="225">
        <f t="shared" si="7"/>
        <v>0</v>
      </c>
      <c r="K42" s="226"/>
      <c r="L42" s="226">
        <f>INDEX(Table!M:M,MATCH(E42,Table!F:F,0))</f>
        <v>1.665</v>
      </c>
      <c r="M42" s="225">
        <f t="shared" si="8"/>
        <v>1.665</v>
      </c>
      <c r="N42" s="227">
        <v>1.4550000000000001</v>
      </c>
      <c r="O42" s="228">
        <v>2</v>
      </c>
      <c r="P42" s="229"/>
      <c r="Q42" s="230">
        <v>-5.2</v>
      </c>
      <c r="R42" s="231">
        <v>1</v>
      </c>
      <c r="S42" s="232"/>
      <c r="T42" s="227">
        <v>-4.0999999999999996</v>
      </c>
      <c r="U42" s="233">
        <v>1</v>
      </c>
      <c r="V42" s="229"/>
      <c r="W42" s="230">
        <v>-7</v>
      </c>
      <c r="X42" s="231">
        <v>0</v>
      </c>
      <c r="Y42" s="232"/>
      <c r="Z42" s="227">
        <v>2.7100000000000009</v>
      </c>
      <c r="AA42" s="233">
        <v>2</v>
      </c>
      <c r="AB42" s="229"/>
      <c r="AC42" s="230"/>
      <c r="AD42" s="231"/>
      <c r="AE42" s="232"/>
      <c r="AF42" s="227"/>
      <c r="AG42" s="233"/>
      <c r="AH42" s="229"/>
      <c r="AI42" s="230"/>
      <c r="AJ42" s="231"/>
      <c r="AK42" s="232"/>
      <c r="AL42" s="227"/>
      <c r="AM42" s="233"/>
      <c r="AN42" s="229"/>
      <c r="AO42" s="230"/>
      <c r="AP42" s="231"/>
      <c r="AQ42" s="232"/>
      <c r="AR42" s="227"/>
      <c r="AS42" s="233"/>
      <c r="AT42" s="229"/>
      <c r="AU42" s="230"/>
      <c r="AV42" s="231"/>
      <c r="AW42" s="232"/>
      <c r="AX42" s="227"/>
      <c r="AY42" s="233"/>
      <c r="AZ42" s="229"/>
      <c r="BA42" s="230"/>
      <c r="BB42" s="231"/>
      <c r="BC42" s="232"/>
      <c r="BD42" s="227"/>
      <c r="BE42" s="233"/>
      <c r="BF42" s="229"/>
      <c r="BG42" s="230"/>
      <c r="BH42" s="234"/>
      <c r="BI42" s="232"/>
      <c r="BJ42" s="227"/>
      <c r="BK42" s="233"/>
      <c r="BL42" s="229"/>
      <c r="BM42" s="230"/>
      <c r="BN42" s="234"/>
      <c r="BO42" s="232"/>
      <c r="BP42" s="227"/>
      <c r="BQ42" s="233"/>
      <c r="BR42" s="229"/>
      <c r="BS42" s="230"/>
      <c r="BT42" s="231"/>
      <c r="BU42" s="232"/>
      <c r="BV42" s="230">
        <f t="shared" si="12"/>
        <v>-12.135</v>
      </c>
      <c r="BW42" s="231">
        <f t="shared" si="13"/>
        <v>6</v>
      </c>
      <c r="BX42" s="232">
        <f t="shared" si="14"/>
        <v>0</v>
      </c>
      <c r="BY42" s="48"/>
      <c r="DX42" s="49"/>
      <c r="DY42" s="49"/>
      <c r="EF42" s="46"/>
      <c r="EG42" s="46"/>
    </row>
    <row r="43" spans="1:137">
      <c r="A43" s="237">
        <f t="shared" si="9"/>
        <v>27</v>
      </c>
      <c r="B43" s="237">
        <f t="shared" si="1"/>
        <v>30</v>
      </c>
      <c r="C43" s="237"/>
      <c r="D43" s="281" t="str">
        <f>INDEX(Table!E:E,MATCH(E43,Table!F:F,0))</f>
        <v>B</v>
      </c>
      <c r="E43" s="223" t="s">
        <v>533</v>
      </c>
      <c r="F43" s="235">
        <f t="shared" si="10"/>
        <v>-18.286666666666669</v>
      </c>
      <c r="G43" s="54">
        <f t="shared" si="11"/>
        <v>5</v>
      </c>
      <c r="H43" s="677">
        <v>-4.9000000000000004</v>
      </c>
      <c r="I43" s="678">
        <v>1</v>
      </c>
      <c r="J43" s="225">
        <f t="shared" si="7"/>
        <v>0</v>
      </c>
      <c r="K43" s="226"/>
      <c r="L43" s="226">
        <f>INDEX(Table!M:M,MATCH(E43,Table!F:F,0))</f>
        <v>0</v>
      </c>
      <c r="M43" s="225">
        <f t="shared" si="8"/>
        <v>0</v>
      </c>
      <c r="N43" s="227">
        <v>-7</v>
      </c>
      <c r="O43" s="228">
        <v>0</v>
      </c>
      <c r="P43" s="229"/>
      <c r="Q43" s="230">
        <v>-5.1666666666666661</v>
      </c>
      <c r="R43" s="231">
        <v>1</v>
      </c>
      <c r="S43" s="232"/>
      <c r="T43" s="227">
        <v>2.879999999999999</v>
      </c>
      <c r="U43" s="233">
        <v>2</v>
      </c>
      <c r="V43" s="229"/>
      <c r="W43" s="230">
        <v>-4.0999999999999996</v>
      </c>
      <c r="X43" s="231">
        <v>1</v>
      </c>
      <c r="Y43" s="232"/>
      <c r="Z43" s="227">
        <v>-4.9000000000000004</v>
      </c>
      <c r="AA43" s="233">
        <v>1</v>
      </c>
      <c r="AB43" s="229"/>
      <c r="AC43" s="230"/>
      <c r="AD43" s="231"/>
      <c r="AE43" s="232"/>
      <c r="AF43" s="227"/>
      <c r="AG43" s="233"/>
      <c r="AH43" s="229"/>
      <c r="AI43" s="230"/>
      <c r="AJ43" s="231"/>
      <c r="AK43" s="232"/>
      <c r="AL43" s="227"/>
      <c r="AM43" s="233"/>
      <c r="AN43" s="229"/>
      <c r="AO43" s="230"/>
      <c r="AP43" s="231"/>
      <c r="AQ43" s="232"/>
      <c r="AR43" s="227"/>
      <c r="AS43" s="233"/>
      <c r="AT43" s="229"/>
      <c r="AU43" s="230"/>
      <c r="AV43" s="231"/>
      <c r="AW43" s="232"/>
      <c r="AX43" s="227"/>
      <c r="AY43" s="233"/>
      <c r="AZ43" s="229"/>
      <c r="BA43" s="230"/>
      <c r="BB43" s="231"/>
      <c r="BC43" s="232"/>
      <c r="BD43" s="227"/>
      <c r="BE43" s="233"/>
      <c r="BF43" s="229"/>
      <c r="BG43" s="230"/>
      <c r="BH43" s="234"/>
      <c r="BI43" s="232"/>
      <c r="BJ43" s="227"/>
      <c r="BK43" s="233"/>
      <c r="BL43" s="229"/>
      <c r="BM43" s="230"/>
      <c r="BN43" s="234"/>
      <c r="BO43" s="232"/>
      <c r="BP43" s="227"/>
      <c r="BQ43" s="233"/>
      <c r="BR43" s="229"/>
      <c r="BS43" s="230"/>
      <c r="BT43" s="231"/>
      <c r="BU43" s="232"/>
      <c r="BV43" s="230">
        <f t="shared" si="12"/>
        <v>-18.286666666666669</v>
      </c>
      <c r="BW43" s="231">
        <f t="shared" si="13"/>
        <v>5</v>
      </c>
      <c r="BX43" s="232">
        <f t="shared" si="14"/>
        <v>0</v>
      </c>
      <c r="BY43" s="48"/>
      <c r="DX43" s="49"/>
      <c r="DY43" s="49"/>
      <c r="EF43" s="46"/>
      <c r="EG43" s="46"/>
    </row>
    <row r="44" spans="1:137">
      <c r="A44" s="237">
        <f t="shared" si="9"/>
        <v>40</v>
      </c>
      <c r="B44" s="237">
        <f t="shared" si="1"/>
        <v>16</v>
      </c>
      <c r="C44" s="237"/>
      <c r="D44" s="281" t="str">
        <f>INDEX(Table!E:E,MATCH(E44,Table!F:F,0))</f>
        <v>A</v>
      </c>
      <c r="E44" s="223" t="s">
        <v>306</v>
      </c>
      <c r="F44" s="235">
        <f t="shared" si="10"/>
        <v>-25.394444444444446</v>
      </c>
      <c r="G44" s="54">
        <f t="shared" si="11"/>
        <v>3</v>
      </c>
      <c r="H44" s="677">
        <v>0.55555555555555536</v>
      </c>
      <c r="I44" s="678">
        <v>2</v>
      </c>
      <c r="J44" s="225">
        <f t="shared" si="7"/>
        <v>0</v>
      </c>
      <c r="K44" s="226"/>
      <c r="L44" s="226">
        <f>INDEX(Table!M:M,MATCH(E44,Table!F:F,0))</f>
        <v>0</v>
      </c>
      <c r="M44" s="225">
        <f t="shared" si="8"/>
        <v>0</v>
      </c>
      <c r="N44" s="227">
        <v>-4.95</v>
      </c>
      <c r="O44" s="228">
        <v>1</v>
      </c>
      <c r="P44" s="229"/>
      <c r="Q44" s="230">
        <v>-7</v>
      </c>
      <c r="R44" s="231">
        <v>0</v>
      </c>
      <c r="S44" s="232"/>
      <c r="T44" s="227">
        <v>-7</v>
      </c>
      <c r="U44" s="233">
        <v>0</v>
      </c>
      <c r="V44" s="229"/>
      <c r="W44" s="230">
        <v>-7</v>
      </c>
      <c r="X44" s="231">
        <v>0</v>
      </c>
      <c r="Y44" s="232"/>
      <c r="Z44" s="227">
        <v>0.55555555555555536</v>
      </c>
      <c r="AA44" s="233">
        <v>2</v>
      </c>
      <c r="AB44" s="229"/>
      <c r="AC44" s="230"/>
      <c r="AD44" s="231"/>
      <c r="AE44" s="232"/>
      <c r="AF44" s="227"/>
      <c r="AG44" s="233"/>
      <c r="AH44" s="229"/>
      <c r="AI44" s="230"/>
      <c r="AJ44" s="231"/>
      <c r="AK44" s="232"/>
      <c r="AL44" s="227"/>
      <c r="AM44" s="233"/>
      <c r="AN44" s="229"/>
      <c r="AO44" s="230"/>
      <c r="AP44" s="231"/>
      <c r="AQ44" s="232"/>
      <c r="AR44" s="227"/>
      <c r="AS44" s="233"/>
      <c r="AT44" s="229"/>
      <c r="AU44" s="230"/>
      <c r="AV44" s="231"/>
      <c r="AW44" s="232"/>
      <c r="AX44" s="227"/>
      <c r="AY44" s="233"/>
      <c r="AZ44" s="229"/>
      <c r="BA44" s="230"/>
      <c r="BB44" s="231"/>
      <c r="BC44" s="232"/>
      <c r="BD44" s="227"/>
      <c r="BE44" s="233"/>
      <c r="BF44" s="229"/>
      <c r="BG44" s="230"/>
      <c r="BH44" s="234"/>
      <c r="BI44" s="232"/>
      <c r="BJ44" s="227"/>
      <c r="BK44" s="233"/>
      <c r="BL44" s="229"/>
      <c r="BM44" s="230"/>
      <c r="BN44" s="234"/>
      <c r="BO44" s="232"/>
      <c r="BP44" s="227"/>
      <c r="BQ44" s="233"/>
      <c r="BR44" s="229"/>
      <c r="BS44" s="230"/>
      <c r="BT44" s="231"/>
      <c r="BU44" s="232"/>
      <c r="BV44" s="230">
        <f t="shared" si="12"/>
        <v>-25.394444444444442</v>
      </c>
      <c r="BW44" s="231">
        <f t="shared" si="13"/>
        <v>3</v>
      </c>
      <c r="BX44" s="232">
        <f t="shared" si="14"/>
        <v>0</v>
      </c>
      <c r="BY44" s="48"/>
      <c r="DX44" s="49"/>
      <c r="DY44" s="49"/>
      <c r="EF44" s="46"/>
      <c r="EG44" s="46"/>
    </row>
    <row r="45" spans="1:137">
      <c r="A45" s="237">
        <f t="shared" si="9"/>
        <v>8</v>
      </c>
      <c r="B45" s="237">
        <f t="shared" si="1"/>
        <v>34</v>
      </c>
      <c r="C45" s="237"/>
      <c r="D45" s="281" t="str">
        <f>INDEX(Table!E:E,MATCH(E45,Table!F:F,0))</f>
        <v>C</v>
      </c>
      <c r="E45" s="223" t="s">
        <v>285</v>
      </c>
      <c r="F45" s="235">
        <f t="shared" si="10"/>
        <v>-0.76545454545454383</v>
      </c>
      <c r="G45" s="54">
        <f t="shared" si="11"/>
        <v>4</v>
      </c>
      <c r="H45" s="677">
        <v>-7</v>
      </c>
      <c r="I45" s="678">
        <v>0</v>
      </c>
      <c r="J45" s="225">
        <f t="shared" si="7"/>
        <v>10</v>
      </c>
      <c r="K45" s="226"/>
      <c r="L45" s="226">
        <f>INDEX(Table!M:M,MATCH(E45,Table!F:F,0))</f>
        <v>6.66</v>
      </c>
      <c r="M45" s="225">
        <f t="shared" si="8"/>
        <v>16.66</v>
      </c>
      <c r="N45" s="227">
        <v>24.334545454545456</v>
      </c>
      <c r="O45" s="228">
        <v>3</v>
      </c>
      <c r="P45" s="229">
        <v>10</v>
      </c>
      <c r="Q45" s="230">
        <v>-7</v>
      </c>
      <c r="R45" s="231">
        <v>0</v>
      </c>
      <c r="S45" s="232"/>
      <c r="T45" s="227">
        <v>-7</v>
      </c>
      <c r="U45" s="233">
        <v>0</v>
      </c>
      <c r="V45" s="229"/>
      <c r="W45" s="230">
        <v>-4.0999999999999996</v>
      </c>
      <c r="X45" s="231">
        <v>1</v>
      </c>
      <c r="Y45" s="232"/>
      <c r="Z45" s="227">
        <v>-7</v>
      </c>
      <c r="AA45" s="233">
        <v>0</v>
      </c>
      <c r="AB45" s="229"/>
      <c r="AC45" s="230"/>
      <c r="AD45" s="231"/>
      <c r="AE45" s="232"/>
      <c r="AF45" s="227"/>
      <c r="AG45" s="233"/>
      <c r="AH45" s="229"/>
      <c r="AI45" s="230"/>
      <c r="AJ45" s="231"/>
      <c r="AK45" s="232"/>
      <c r="AL45" s="227"/>
      <c r="AM45" s="233"/>
      <c r="AN45" s="229"/>
      <c r="AO45" s="230"/>
      <c r="AP45" s="231"/>
      <c r="AQ45" s="232"/>
      <c r="AR45" s="227"/>
      <c r="AS45" s="233"/>
      <c r="AT45" s="229"/>
      <c r="AU45" s="230"/>
      <c r="AV45" s="231"/>
      <c r="AW45" s="232"/>
      <c r="AX45" s="227"/>
      <c r="AY45" s="233"/>
      <c r="AZ45" s="229"/>
      <c r="BA45" s="230"/>
      <c r="BB45" s="231"/>
      <c r="BC45" s="232"/>
      <c r="BD45" s="227"/>
      <c r="BE45" s="233"/>
      <c r="BF45" s="229"/>
      <c r="BG45" s="230"/>
      <c r="BH45" s="234"/>
      <c r="BI45" s="232"/>
      <c r="BJ45" s="227"/>
      <c r="BK45" s="233"/>
      <c r="BL45" s="229"/>
      <c r="BM45" s="230"/>
      <c r="BN45" s="234"/>
      <c r="BO45" s="232"/>
      <c r="BP45" s="227"/>
      <c r="BQ45" s="233"/>
      <c r="BR45" s="229"/>
      <c r="BS45" s="230"/>
      <c r="BT45" s="231"/>
      <c r="BU45" s="232"/>
      <c r="BV45" s="230">
        <f t="shared" si="12"/>
        <v>-0.76545454545454561</v>
      </c>
      <c r="BW45" s="231">
        <f t="shared" si="13"/>
        <v>4</v>
      </c>
      <c r="BX45" s="232">
        <f t="shared" si="14"/>
        <v>10</v>
      </c>
      <c r="BY45" s="48"/>
      <c r="DX45" s="49"/>
      <c r="DY45" s="49"/>
      <c r="EF45" s="46"/>
      <c r="EG45" s="46"/>
    </row>
    <row r="46" spans="1:137">
      <c r="A46" s="237" t="e">
        <f t="shared" ref="A46" si="15">_xlfn.RANK.EQ(F46,totalscores,0)</f>
        <v>#N/A</v>
      </c>
      <c r="B46" s="237">
        <f t="shared" ref="B46" si="16">_xlfn.RANK.EQ(H46,thisweekscore,0)</f>
        <v>32</v>
      </c>
      <c r="C46" s="237"/>
      <c r="D46" s="281" t="str">
        <f>INDEX(Table!E:E,MATCH(E46,Table!F:F,0))</f>
        <v>C</v>
      </c>
      <c r="E46" s="223" t="s">
        <v>574</v>
      </c>
      <c r="F46" s="235">
        <f t="shared" ref="F46" si="17">+N46+Q46+T46+W46+Z46+AC46+AF46+AI46+AL46+AO46+AR46+AU46+AX46+BA46+BD46+BG46+BJ46+BM46+BP46+BS46</f>
        <v>-23.885858585858585</v>
      </c>
      <c r="G46" s="54">
        <f t="shared" ref="G46" si="18">+O46+R46+U46+X46+AA46+AD46+AG46+AJ46+AM46+AP46+AS46+AV46+AY46+BB46+BE46+BH46+BK46+BN46+BQ46+BT46</f>
        <v>4</v>
      </c>
      <c r="H46" s="677">
        <v>-5.5555555555555554</v>
      </c>
      <c r="I46" s="678">
        <v>1</v>
      </c>
      <c r="J46" s="225">
        <f t="shared" ref="J46" si="19">P46+S46+V46+Y46+AB46+AE46+AH46+AK46+AN46+AQ46+AT46+AW46+AZ46+BC46+BF46+BI46+BL46+BO46+BR46+BU46</f>
        <v>0</v>
      </c>
      <c r="K46" s="226"/>
      <c r="L46" s="226">
        <f>INDEX(Table!M:M,MATCH(E46,Table!F:F,0))</f>
        <v>0</v>
      </c>
      <c r="M46" s="225">
        <f t="shared" ref="M46" si="20">K46+J46+L46</f>
        <v>0</v>
      </c>
      <c r="N46" s="227">
        <v>-7</v>
      </c>
      <c r="O46" s="228">
        <v>0</v>
      </c>
      <c r="P46" s="229"/>
      <c r="Q46" s="230">
        <v>-3.7</v>
      </c>
      <c r="R46" s="231">
        <v>1</v>
      </c>
      <c r="S46" s="232"/>
      <c r="T46" s="227">
        <v>-7</v>
      </c>
      <c r="U46" s="233">
        <v>0</v>
      </c>
      <c r="V46" s="229"/>
      <c r="W46" s="230">
        <v>-0.63030303030303081</v>
      </c>
      <c r="X46" s="231">
        <v>2</v>
      </c>
      <c r="Y46" s="232"/>
      <c r="Z46" s="227">
        <v>-5.5555555555555554</v>
      </c>
      <c r="AA46" s="233">
        <v>1</v>
      </c>
      <c r="AB46" s="229"/>
      <c r="AC46" s="230"/>
      <c r="AD46" s="231"/>
      <c r="AE46" s="232"/>
      <c r="AF46" s="227"/>
      <c r="AG46" s="233"/>
      <c r="AH46" s="229"/>
      <c r="AI46" s="230"/>
      <c r="AJ46" s="231"/>
      <c r="AK46" s="232"/>
      <c r="AL46" s="227"/>
      <c r="AM46" s="233"/>
      <c r="AN46" s="229"/>
      <c r="AO46" s="230"/>
      <c r="AP46" s="231"/>
      <c r="AQ46" s="232"/>
      <c r="AR46" s="227"/>
      <c r="AS46" s="233"/>
      <c r="AT46" s="229"/>
      <c r="AU46" s="230"/>
      <c r="AV46" s="231"/>
      <c r="AW46" s="232"/>
      <c r="AX46" s="227"/>
      <c r="AY46" s="233"/>
      <c r="AZ46" s="229"/>
      <c r="BA46" s="230"/>
      <c r="BB46" s="231"/>
      <c r="BC46" s="232"/>
      <c r="BD46" s="227"/>
      <c r="BE46" s="233"/>
      <c r="BF46" s="229"/>
      <c r="BG46" s="230"/>
      <c r="BH46" s="234"/>
      <c r="BI46" s="232"/>
      <c r="BJ46" s="227"/>
      <c r="BK46" s="233"/>
      <c r="BL46" s="229"/>
      <c r="BM46" s="230"/>
      <c r="BN46" s="234"/>
      <c r="BO46" s="232"/>
      <c r="BP46" s="227"/>
      <c r="BQ46" s="233"/>
      <c r="BR46" s="229"/>
      <c r="BS46" s="230"/>
      <c r="BT46" s="231"/>
      <c r="BU46" s="232"/>
      <c r="BV46" s="230">
        <f t="shared" ref="BV46" si="21">BS46+BP46+BM46+BJ46+BG46+BD46+BA46+AX46+AU46+AR46+AO46+AL46+AI46+AF46+AC46+Z46+W46+T46+Q46+N46</f>
        <v>-23.885858585858585</v>
      </c>
      <c r="BW46" s="231">
        <f t="shared" ref="BW46" si="22">BT46+BQ46+BN46+BK46+BH46+BE46+BB46+AY46+AV46+AS46+AP46+AM46+AJ46+AG46+AD46+AA46+X46+U46+R46+O46</f>
        <v>4</v>
      </c>
      <c r="BX46" s="232">
        <f t="shared" ref="BX46" si="23">BU46+BR46+BO46+BL46+BI46+BF46+BC46+AZ46+AW46+AT46+AQ46+AN46+AK46+AH46+AE46+AB46+Y46+V46+S46+P46</f>
        <v>0</v>
      </c>
      <c r="BY46" s="48"/>
      <c r="DX46" s="49"/>
      <c r="DY46" s="49"/>
      <c r="EF46" s="46"/>
      <c r="EG46" s="46"/>
    </row>
    <row r="47" spans="1:137">
      <c r="A47" s="237" t="e">
        <f t="shared" ref="A47" si="24">_xlfn.RANK.EQ(F47,totalscores,0)</f>
        <v>#N/A</v>
      </c>
      <c r="B47" s="237">
        <f t="shared" ref="B47" si="25">_xlfn.RANK.EQ(H47,thisweekscore,0)</f>
        <v>22</v>
      </c>
      <c r="C47" s="237"/>
      <c r="D47" s="281" t="str">
        <f>INDEX(Table!E:E,MATCH(E47,Table!F:F,0))</f>
        <v>C</v>
      </c>
      <c r="E47" s="223" t="s">
        <v>575</v>
      </c>
      <c r="F47" s="235">
        <f t="shared" ref="F47" si="26">+N47+Q47+T47+W47+Z47+AC47+AF47+AI47+AL47+AO47+AR47+AU47+AX47+BA47+BD47+BG47+BJ47+BM47+BP47+BS47</f>
        <v>-26.700000000000003</v>
      </c>
      <c r="G47" s="54">
        <f t="shared" ref="G47" si="27">+O47+R47+U47+X47+AA47+AD47+AG47+AJ47+AM47+AP47+AS47+AV47+AY47+BB47+BE47+BH47+BK47+BN47+BQ47+BT47</f>
        <v>6</v>
      </c>
      <c r="H47" s="677">
        <v>-1.8666666666666671</v>
      </c>
      <c r="I47" s="678">
        <v>2</v>
      </c>
      <c r="J47" s="225">
        <f t="shared" ref="J47" si="28">P47+S47+V47+Y47+AB47+AE47+AH47+AK47+AN47+AQ47+AT47+AW47+AZ47+BC47+BF47+BI47+BL47+BO47+BR47+BU47</f>
        <v>0</v>
      </c>
      <c r="K47" s="226"/>
      <c r="L47" s="226">
        <f>INDEX(Table!M:M,MATCH(E47,Table!F:F,0))</f>
        <v>0</v>
      </c>
      <c r="M47" s="225">
        <f t="shared" ref="M47" si="29">K47+J47+L47</f>
        <v>0</v>
      </c>
      <c r="N47" s="227">
        <v>-7</v>
      </c>
      <c r="O47" s="228">
        <v>0</v>
      </c>
      <c r="P47" s="229"/>
      <c r="Q47" s="230">
        <v>-5.5</v>
      </c>
      <c r="R47" s="231">
        <v>2</v>
      </c>
      <c r="S47" s="232"/>
      <c r="T47" s="227">
        <v>-5.3333333333333339</v>
      </c>
      <c r="U47" s="233">
        <v>0</v>
      </c>
      <c r="V47" s="229"/>
      <c r="W47" s="230">
        <v>-7</v>
      </c>
      <c r="X47" s="231">
        <v>2</v>
      </c>
      <c r="Y47" s="232"/>
      <c r="Z47" s="227">
        <v>-1.8666666666666671</v>
      </c>
      <c r="AA47" s="233">
        <v>2</v>
      </c>
      <c r="AB47" s="229"/>
      <c r="AC47" s="230"/>
      <c r="AD47" s="231"/>
      <c r="AE47" s="232"/>
      <c r="AF47" s="227"/>
      <c r="AG47" s="233"/>
      <c r="AH47" s="229"/>
      <c r="AI47" s="230"/>
      <c r="AJ47" s="231"/>
      <c r="AK47" s="232"/>
      <c r="AL47" s="227"/>
      <c r="AM47" s="233"/>
      <c r="AN47" s="229"/>
      <c r="AO47" s="230"/>
      <c r="AP47" s="231"/>
      <c r="AQ47" s="232"/>
      <c r="AR47" s="227"/>
      <c r="AS47" s="233"/>
      <c r="AT47" s="229"/>
      <c r="AU47" s="230"/>
      <c r="AV47" s="231"/>
      <c r="AW47" s="232"/>
      <c r="AX47" s="227"/>
      <c r="AY47" s="233"/>
      <c r="AZ47" s="229"/>
      <c r="BA47" s="230"/>
      <c r="BB47" s="231"/>
      <c r="BC47" s="232"/>
      <c r="BD47" s="227"/>
      <c r="BE47" s="233"/>
      <c r="BF47" s="229"/>
      <c r="BG47" s="230"/>
      <c r="BH47" s="234"/>
      <c r="BI47" s="232"/>
      <c r="BJ47" s="227"/>
      <c r="BK47" s="233"/>
      <c r="BL47" s="229"/>
      <c r="BM47" s="230"/>
      <c r="BN47" s="234"/>
      <c r="BO47" s="232"/>
      <c r="BP47" s="227"/>
      <c r="BQ47" s="233"/>
      <c r="BR47" s="229"/>
      <c r="BS47" s="230"/>
      <c r="BT47" s="231"/>
      <c r="BU47" s="232"/>
      <c r="BV47" s="230">
        <f t="shared" ref="BV47" si="30">BS47+BP47+BM47+BJ47+BG47+BD47+BA47+AX47+AU47+AR47+AO47+AL47+AI47+AF47+AC47+Z47+W47+T47+Q47+N47</f>
        <v>-26.700000000000003</v>
      </c>
      <c r="BW47" s="231">
        <f t="shared" ref="BW47" si="31">BT47+BQ47+BN47+BK47+BH47+BE47+BB47+AY47+AV47+AS47+AP47+AM47+AJ47+AG47+AD47+AA47+X47+U47+R47+O47</f>
        <v>6</v>
      </c>
      <c r="BX47" s="232">
        <f t="shared" ref="BX47" si="32">BU47+BR47+BO47+BL47+BI47+BF47+BC47+AZ47+AW47+AT47+AQ47+AN47+AK47+AH47+AE47+AB47+Y47+V47+S47+P47</f>
        <v>0</v>
      </c>
      <c r="BY47" s="48"/>
      <c r="DX47" s="49"/>
      <c r="DY47" s="49"/>
      <c r="EF47" s="46"/>
      <c r="EG47" s="46"/>
    </row>
    <row r="48" spans="1:137">
      <c r="BY48" s="48"/>
      <c r="DX48" s="49"/>
      <c r="DY48" s="49"/>
      <c r="EF48" s="46"/>
      <c r="EG48" s="46"/>
    </row>
    <row r="49" spans="1:137">
      <c r="A49" s="46"/>
      <c r="B49" s="46"/>
      <c r="C49" s="46"/>
      <c r="D49" s="46"/>
      <c r="E49" s="461"/>
      <c r="F49" s="462"/>
      <c r="G49" s="46"/>
      <c r="H49" s="462"/>
      <c r="I49" s="463"/>
      <c r="J49" s="464">
        <f>SUM(J2:J45)</f>
        <v>125</v>
      </c>
      <c r="K49" s="464">
        <f>SUM(K2:K45)</f>
        <v>0</v>
      </c>
      <c r="L49" s="464"/>
      <c r="M49" s="464"/>
      <c r="N49" s="464"/>
      <c r="O49" s="464"/>
      <c r="P49" s="464">
        <f>SUM(P2:P45)</f>
        <v>25</v>
      </c>
      <c r="Q49" s="462"/>
      <c r="R49" s="464"/>
      <c r="S49" s="464">
        <f>SUM(S2:S45)</f>
        <v>25</v>
      </c>
      <c r="T49" s="464"/>
      <c r="U49" s="464"/>
      <c r="V49" s="464">
        <f>SUM(V2:V45)</f>
        <v>25</v>
      </c>
      <c r="W49" s="462"/>
      <c r="X49" s="464"/>
      <c r="Y49" s="464">
        <f>SUM(Y2:Y45)</f>
        <v>25</v>
      </c>
      <c r="Z49" s="464"/>
      <c r="AA49" s="464"/>
      <c r="AB49" s="464">
        <f>SUM(AB2:AB45)</f>
        <v>25</v>
      </c>
      <c r="AC49" s="464"/>
      <c r="AD49" s="464"/>
      <c r="AE49" s="464">
        <f>SUM(AE2:AE45)</f>
        <v>0</v>
      </c>
      <c r="AF49" s="464"/>
      <c r="AG49" s="464"/>
      <c r="AH49" s="464">
        <f>SUM(AH2:AH45)</f>
        <v>0</v>
      </c>
      <c r="AI49" s="464"/>
      <c r="AJ49" s="464"/>
      <c r="AK49" s="464">
        <f>SUM(AK2:AK45)</f>
        <v>0</v>
      </c>
      <c r="AL49" s="464"/>
      <c r="AM49" s="464"/>
      <c r="AN49" s="464">
        <f>SUM(AN2:AN45)</f>
        <v>0</v>
      </c>
      <c r="AO49" s="464"/>
      <c r="AP49" s="464"/>
      <c r="AQ49" s="464">
        <f>SUM(AQ2:AQ45)</f>
        <v>0</v>
      </c>
      <c r="AR49" s="464"/>
      <c r="AS49" s="464"/>
      <c r="AT49" s="464">
        <f>SUM(AT2:AT45)</f>
        <v>0</v>
      </c>
      <c r="AU49" s="464"/>
      <c r="AV49" s="464"/>
      <c r="AW49" s="464">
        <f>SUM(AW2:AW45)</f>
        <v>0</v>
      </c>
      <c r="AX49" s="464"/>
      <c r="AY49" s="464"/>
      <c r="AZ49" s="464">
        <f>SUM(AZ2:AZ45)</f>
        <v>0</v>
      </c>
      <c r="BA49" s="464"/>
      <c r="BB49" s="464"/>
      <c r="BC49" s="464">
        <f>SUM(BC2:BC45)</f>
        <v>0</v>
      </c>
      <c r="BD49" s="464"/>
      <c r="BE49" s="464"/>
      <c r="BF49" s="464">
        <f>SUM(BF2:BF45)</f>
        <v>0</v>
      </c>
      <c r="BG49" s="464"/>
      <c r="BH49" s="464"/>
      <c r="BI49" s="464">
        <f>SUM(BI2:BI45)</f>
        <v>0</v>
      </c>
      <c r="BJ49" s="464"/>
      <c r="BK49" s="464"/>
      <c r="BL49" s="464">
        <f>SUM(BL2:BL45)</f>
        <v>0</v>
      </c>
      <c r="BM49" s="464"/>
      <c r="BN49" s="464"/>
      <c r="BO49" s="464">
        <f>SUM(BO2:BO45)</f>
        <v>0</v>
      </c>
      <c r="BP49" s="464"/>
      <c r="BQ49" s="464"/>
      <c r="BR49" s="464">
        <f>SUM(BR2:BR45)</f>
        <v>0</v>
      </c>
      <c r="BS49" s="464"/>
      <c r="BT49" s="464"/>
      <c r="BU49" s="464">
        <f>SUM(BU2:BU45)</f>
        <v>0</v>
      </c>
      <c r="BV49" s="464"/>
      <c r="BW49" s="464"/>
      <c r="BX49" s="464">
        <f>SUM(BX2:BX45)</f>
        <v>125</v>
      </c>
      <c r="BY49" s="48"/>
      <c r="DX49" s="49"/>
      <c r="DY49" s="49"/>
      <c r="EF49" s="46"/>
      <c r="EG49" s="46"/>
    </row>
    <row r="50" spans="1:137" ht="12" customHeight="1">
      <c r="BY50" s="48"/>
      <c r="DX50" s="49"/>
      <c r="DY50" s="49"/>
      <c r="EF50" s="46"/>
      <c r="EG50" s="46"/>
    </row>
    <row r="51" spans="1:137">
      <c r="BY51" s="48"/>
      <c r="DX51" s="49"/>
      <c r="DY51" s="49"/>
      <c r="EF51" s="46"/>
      <c r="EG51" s="46"/>
    </row>
    <row r="52" spans="1:137">
      <c r="BY52" s="48"/>
      <c r="DX52" s="49"/>
      <c r="DY52" s="49"/>
      <c r="EF52" s="46"/>
      <c r="EG52" s="46"/>
    </row>
    <row r="53" spans="1:137">
      <c r="DX53" s="49"/>
      <c r="DY53" s="49"/>
      <c r="EF53" s="46"/>
      <c r="EG53" s="46"/>
    </row>
    <row r="54" spans="1:137">
      <c r="DX54" s="49"/>
      <c r="DY54" s="49"/>
      <c r="EF54" s="46"/>
      <c r="EG54" s="46"/>
    </row>
    <row r="55" spans="1:137">
      <c r="DX55" s="49"/>
      <c r="DY55" s="49"/>
      <c r="EF55" s="46"/>
      <c r="EG55" s="46"/>
    </row>
    <row r="56" spans="1:137">
      <c r="DX56" s="49"/>
      <c r="DY56" s="49"/>
      <c r="EF56" s="46"/>
      <c r="EG56" s="46"/>
    </row>
    <row r="57" spans="1:137">
      <c r="DX57" s="49"/>
      <c r="DY57" s="49"/>
      <c r="EF57" s="46"/>
      <c r="EG57" s="46"/>
    </row>
    <row r="58" spans="1:137">
      <c r="BY58" s="49"/>
      <c r="BZ58" s="49"/>
      <c r="DX58" s="49"/>
      <c r="DY58" s="49"/>
      <c r="EF58" s="46"/>
      <c r="EG58" s="46"/>
    </row>
    <row r="59" spans="1:137">
      <c r="CA59" s="49"/>
      <c r="CB59" s="49"/>
      <c r="CC59" s="49"/>
      <c r="CD59" s="49"/>
      <c r="CE59" s="49"/>
      <c r="CF59" s="49"/>
      <c r="CG59" s="49"/>
      <c r="CH59" s="49"/>
      <c r="CI59" s="49"/>
      <c r="CJ59" s="49"/>
      <c r="DX59" s="49"/>
      <c r="DY59" s="49"/>
      <c r="EF59" s="46"/>
      <c r="EG59" s="46"/>
    </row>
    <row r="60" spans="1:137">
      <c r="DX60" s="49"/>
      <c r="DY60" s="49"/>
      <c r="EF60" s="46"/>
      <c r="EG60" s="46"/>
    </row>
    <row r="61" spans="1:137">
      <c r="DX61" s="49"/>
      <c r="DY61" s="49"/>
      <c r="EF61" s="46"/>
      <c r="EG61" s="46"/>
    </row>
    <row r="62" spans="1:137">
      <c r="DX62" s="49"/>
      <c r="DY62" s="49"/>
      <c r="EF62" s="46"/>
      <c r="EG62" s="46"/>
    </row>
    <row r="63" spans="1:137">
      <c r="DX63" s="49"/>
      <c r="DY63" s="49"/>
      <c r="EF63" s="46"/>
      <c r="EG63" s="46"/>
    </row>
    <row r="64" spans="1:137">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row r="74" spans="128:137">
      <c r="DX74" s="49"/>
      <c r="DY74" s="49"/>
      <c r="EF74" s="46"/>
      <c r="EG74" s="46"/>
    </row>
  </sheetData>
  <autoFilter ref="A1:BX52" xr:uid="{00000000-0009-0000-0000-000002000000}"/>
  <phoneticPr fontId="0" type="noConversion"/>
  <conditionalFormatting sqref="J2:M45">
    <cfRule type="cellIs" dxfId="138" priority="6" stopIfTrue="1" operator="equal">
      <formula>0</formula>
    </cfRule>
  </conditionalFormatting>
  <conditionalFormatting sqref="J46:M47">
    <cfRule type="cellIs" dxfId="137"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45"/>
  <sheetViews>
    <sheetView topLeftCell="O1" zoomScaleNormal="100" workbookViewId="0">
      <pane ySplit="1" topLeftCell="A13" activePane="bottomLeft" state="frozen"/>
      <selection activeCell="I2" sqref="I2"/>
      <selection pane="bottomLeft" activeCell="T2" sqref="T2:U47"/>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5"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5" width="12.1328125" style="1" customWidth="1"/>
    <col min="36" max="36" width="22.1328125" style="1" customWidth="1"/>
    <col min="37" max="77" width="9.1328125" style="1" customWidth="1"/>
  </cols>
  <sheetData>
    <row r="1" spans="1:77" s="205" customFormat="1" ht="16.5" customHeight="1">
      <c r="A1" s="351" t="s">
        <v>29</v>
      </c>
      <c r="B1" s="197"/>
      <c r="C1" s="194" t="s">
        <v>7</v>
      </c>
      <c r="D1" s="198" t="s">
        <v>8</v>
      </c>
      <c r="E1" s="196" t="s">
        <v>9</v>
      </c>
      <c r="F1" s="134" t="s">
        <v>15</v>
      </c>
      <c r="G1" s="197" t="s">
        <v>11</v>
      </c>
      <c r="H1" s="196" t="s">
        <v>10</v>
      </c>
      <c r="I1" s="199" t="s">
        <v>131</v>
      </c>
      <c r="J1" s="200" t="s">
        <v>157</v>
      </c>
      <c r="K1" s="200" t="s">
        <v>158</v>
      </c>
      <c r="L1" s="200" t="s">
        <v>159</v>
      </c>
      <c r="M1" s="201" t="s">
        <v>0</v>
      </c>
      <c r="N1" s="201" t="s">
        <v>1</v>
      </c>
      <c r="O1" s="201" t="s">
        <v>2</v>
      </c>
      <c r="P1" s="201" t="s">
        <v>3</v>
      </c>
      <c r="Q1" s="201" t="s">
        <v>4</v>
      </c>
      <c r="R1" s="201" t="s">
        <v>5</v>
      </c>
      <c r="S1" s="202" t="s">
        <v>12</v>
      </c>
      <c r="T1" s="202" t="s">
        <v>6</v>
      </c>
      <c r="U1" s="201" t="s">
        <v>14</v>
      </c>
      <c r="V1" s="115" t="s">
        <v>131</v>
      </c>
      <c r="W1" s="201" t="s">
        <v>15</v>
      </c>
      <c r="X1" s="203" t="s">
        <v>160</v>
      </c>
      <c r="Y1" s="204" t="s">
        <v>161</v>
      </c>
      <c r="Z1" s="204" t="s">
        <v>162</v>
      </c>
      <c r="AA1" s="204" t="s">
        <v>163</v>
      </c>
      <c r="AB1" s="201" t="s">
        <v>0</v>
      </c>
      <c r="AC1" s="201" t="s">
        <v>1</v>
      </c>
      <c r="AD1" s="201" t="s">
        <v>2</v>
      </c>
      <c r="AE1" s="201" t="s">
        <v>3</v>
      </c>
      <c r="AF1" s="201" t="s">
        <v>4</v>
      </c>
      <c r="AG1" s="201" t="s">
        <v>5</v>
      </c>
      <c r="AH1" s="202" t="s">
        <v>12</v>
      </c>
      <c r="AI1" s="202" t="s">
        <v>6</v>
      </c>
      <c r="AJ1" s="197"/>
      <c r="AK1" s="197" t="s">
        <v>469</v>
      </c>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row>
    <row r="2" spans="1:77">
      <c r="A2" s="3">
        <v>1</v>
      </c>
      <c r="B2" s="180" t="str">
        <f>$V2</f>
        <v>Alan Bond</v>
      </c>
      <c r="C2" s="179" t="str">
        <f>Picks!B2</f>
        <v>West Ham draw</v>
      </c>
      <c r="D2" s="180">
        <f>Picks!C2</f>
        <v>7</v>
      </c>
      <c r="E2" s="180">
        <f>Picks!D2</f>
        <v>3.4</v>
      </c>
      <c r="F2" s="179">
        <f>IF(C2="","",INDEX(Odds!K:K,MATCH(C2,Odds!G:G,0)))</f>
        <v>1</v>
      </c>
      <c r="G2" s="179">
        <f>IF(C2="","",Picks!M2)</f>
        <v>0</v>
      </c>
      <c r="H2" s="180">
        <f t="shared" ref="H2:H33" si="0">IF(C2="","",+((E2-1)*G2*F2*A$2))</f>
        <v>0</v>
      </c>
      <c r="I2" s="186" t="str">
        <f t="shared" ref="I2:I32" si="1">V2</f>
        <v>Alan Bond</v>
      </c>
      <c r="J2" s="178">
        <f>H2</f>
        <v>0</v>
      </c>
      <c r="K2" s="178">
        <f>H3</f>
        <v>0</v>
      </c>
      <c r="L2" s="178">
        <f>H4</f>
        <v>0</v>
      </c>
      <c r="M2" s="178">
        <f t="shared" ref="M2:M32" si="2">IF(J2=0,0,1)+J2</f>
        <v>0</v>
      </c>
      <c r="N2" s="178">
        <f t="shared" ref="N2:N32" si="3">IF(K2=0,0,1)+K2</f>
        <v>0</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-7</v>
      </c>
      <c r="U2" s="147">
        <f>SUM(G2:G4)</f>
        <v>0</v>
      </c>
      <c r="V2" s="119" t="s">
        <v>485</v>
      </c>
      <c r="W2" s="147">
        <f>SUM(F2:F4)</f>
        <v>3</v>
      </c>
      <c r="X2" s="180">
        <f t="shared" ref="X2:X33" si="10">+((E2-1)*F2*A$2)</f>
        <v>2.4</v>
      </c>
      <c r="Y2" s="178">
        <f>X2</f>
        <v>2.4</v>
      </c>
      <c r="Z2" s="178">
        <f>X3</f>
        <v>2.1</v>
      </c>
      <c r="AA2" s="178">
        <f>X4</f>
        <v>2</v>
      </c>
      <c r="AB2" s="178">
        <f t="shared" ref="AB2:AB32" si="11">IF(Y2=0,0,1)+Y2</f>
        <v>3.4</v>
      </c>
      <c r="AC2" s="184">
        <f t="shared" ref="AC2:AC32" si="12">IF(Z2=0,0,1)+Z2</f>
        <v>3.1</v>
      </c>
      <c r="AD2" s="178">
        <f t="shared" ref="AD2:AD32" si="13">IF(AA2=0,0,1)+AA2</f>
        <v>3</v>
      </c>
      <c r="AE2" s="178">
        <f t="shared" ref="AE2:AE32" si="14">IF(Z2=0,0,(AB2*Z2)+AB2)</f>
        <v>10.54</v>
      </c>
      <c r="AF2" s="178">
        <f t="shared" ref="AF2:AF32" si="15">IF(AA2=0,0,(AC2*AA2)+AC2)</f>
        <v>9.3000000000000007</v>
      </c>
      <c r="AG2" s="178">
        <f t="shared" ref="AG2:AG32" si="16">IF(Y2=0,0,(AD2*Y2)+AD2)</f>
        <v>10.199999999999999</v>
      </c>
      <c r="AH2" s="178">
        <f t="shared" ref="AH2:AH32" si="17">IF(AA2=0,0,(AE2*AA2)+AE2)</f>
        <v>31.619999999999997</v>
      </c>
      <c r="AI2" s="178">
        <f t="shared" ref="AI2:AI32" si="18">SUM(AB2:AH2)-AK2</f>
        <v>64.16</v>
      </c>
      <c r="AJ2" s="187" t="str">
        <f t="shared" ref="AJ2:AJ26" si="19">$V2</f>
        <v>Alan Bond</v>
      </c>
      <c r="AK2" s="1">
        <f t="shared" ref="AK2:AK26" si="20">IF(W2=3,7,IF(W2=2,3,1))</f>
        <v>7</v>
      </c>
    </row>
    <row r="3" spans="1:77">
      <c r="B3" s="179"/>
      <c r="C3" s="179" t="str">
        <f>Picks!B3</f>
        <v>Wimbledon draw</v>
      </c>
      <c r="D3" s="180">
        <f>Picks!C3</f>
        <v>7</v>
      </c>
      <c r="E3" s="180">
        <f>Picks!D3</f>
        <v>3.1</v>
      </c>
      <c r="F3" s="179">
        <f>IF(C3="","",INDEX(Odds!K:K,MATCH(C3,Odds!G:G,0)))</f>
        <v>1</v>
      </c>
      <c r="G3" s="179">
        <f>IF(C3="","",Picks!M3)</f>
        <v>0</v>
      </c>
      <c r="H3" s="180">
        <f t="shared" si="0"/>
        <v>0</v>
      </c>
      <c r="I3" s="186" t="str">
        <f t="shared" si="1"/>
        <v>Alan Rogers</v>
      </c>
      <c r="J3" s="178">
        <f>H5</f>
        <v>0</v>
      </c>
      <c r="K3" s="178">
        <f>H6</f>
        <v>1.2999999999999998</v>
      </c>
      <c r="L3" s="178">
        <f>H7</f>
        <v>0</v>
      </c>
      <c r="M3" s="178">
        <f t="shared" si="2"/>
        <v>0</v>
      </c>
      <c r="N3" s="178">
        <f t="shared" si="3"/>
        <v>2.2999999999999998</v>
      </c>
      <c r="O3" s="178">
        <f t="shared" si="4"/>
        <v>0</v>
      </c>
      <c r="P3" s="178">
        <f t="shared" si="5"/>
        <v>0</v>
      </c>
      <c r="Q3" s="178">
        <f t="shared" si="6"/>
        <v>0</v>
      </c>
      <c r="R3" s="178">
        <f t="shared" si="7"/>
        <v>0</v>
      </c>
      <c r="S3" s="178">
        <f t="shared" si="8"/>
        <v>0</v>
      </c>
      <c r="T3" s="178">
        <f t="shared" si="9"/>
        <v>-4.7</v>
      </c>
      <c r="U3" s="147">
        <f>SUM(G5:G7)</f>
        <v>1</v>
      </c>
      <c r="V3" s="117" t="s">
        <v>284</v>
      </c>
      <c r="W3" s="147">
        <f>SUM(F5:F7)</f>
        <v>3</v>
      </c>
      <c r="X3" s="180">
        <f t="shared" si="10"/>
        <v>2.1</v>
      </c>
      <c r="Y3" s="178">
        <f>X5</f>
        <v>1.75</v>
      </c>
      <c r="Z3" s="178">
        <f>X6</f>
        <v>1.2999999999999998</v>
      </c>
      <c r="AA3" s="178">
        <f>X7</f>
        <v>1.1499999999999999</v>
      </c>
      <c r="AB3" s="178">
        <f t="shared" si="11"/>
        <v>2.75</v>
      </c>
      <c r="AC3" s="184">
        <f t="shared" si="12"/>
        <v>2.2999999999999998</v>
      </c>
      <c r="AD3" s="178">
        <f t="shared" si="13"/>
        <v>2.15</v>
      </c>
      <c r="AE3" s="178">
        <f t="shared" si="14"/>
        <v>6.3249999999999993</v>
      </c>
      <c r="AF3" s="178">
        <f t="shared" si="15"/>
        <v>4.9449999999999994</v>
      </c>
      <c r="AG3" s="178">
        <f t="shared" si="16"/>
        <v>5.9124999999999996</v>
      </c>
      <c r="AH3" s="178">
        <f t="shared" si="17"/>
        <v>13.598749999999999</v>
      </c>
      <c r="AI3" s="178">
        <f t="shared" si="18"/>
        <v>30.981250000000003</v>
      </c>
      <c r="AJ3" s="187" t="str">
        <f t="shared" si="19"/>
        <v>Alan Rogers</v>
      </c>
      <c r="AK3" s="1">
        <f t="shared" si="20"/>
        <v>7</v>
      </c>
    </row>
    <row r="4" spans="1:77" ht="13.15" thickBot="1">
      <c r="B4" s="181"/>
      <c r="C4" s="181" t="str">
        <f>Picks!B4</f>
        <v>Gillingham draw</v>
      </c>
      <c r="D4" s="182">
        <f>Picks!C4</f>
        <v>7</v>
      </c>
      <c r="E4" s="182">
        <f>Picks!D4</f>
        <v>3</v>
      </c>
      <c r="F4" s="181">
        <f>IF(C4="","",INDEX(Odds!K:K,MATCH(C4,Odds!G:G,0)))</f>
        <v>1</v>
      </c>
      <c r="G4" s="181">
        <f>IF(C4="","",Picks!M4)</f>
        <v>0</v>
      </c>
      <c r="H4" s="182">
        <f t="shared" si="0"/>
        <v>0</v>
      </c>
      <c r="I4" s="186" t="str">
        <f t="shared" si="1"/>
        <v>Alan White</v>
      </c>
      <c r="J4" s="178">
        <f>H8</f>
        <v>0</v>
      </c>
      <c r="K4" s="178">
        <f>H9</f>
        <v>0.85000000000000009</v>
      </c>
      <c r="L4" s="178">
        <f>H10</f>
        <v>0.66666666666666652</v>
      </c>
      <c r="M4" s="178">
        <f t="shared" si="2"/>
        <v>0</v>
      </c>
      <c r="N4" s="178">
        <f t="shared" si="3"/>
        <v>1.85</v>
      </c>
      <c r="O4" s="178">
        <f t="shared" si="4"/>
        <v>1.6666666666666665</v>
      </c>
      <c r="P4" s="178">
        <f t="shared" si="5"/>
        <v>0</v>
      </c>
      <c r="Q4" s="178">
        <f t="shared" si="6"/>
        <v>3.083333333333333</v>
      </c>
      <c r="R4" s="178">
        <f t="shared" si="7"/>
        <v>0</v>
      </c>
      <c r="S4" s="178">
        <f t="shared" si="8"/>
        <v>0</v>
      </c>
      <c r="T4" s="178">
        <f t="shared" si="9"/>
        <v>-0.40000000000000036</v>
      </c>
      <c r="U4" s="147">
        <f>SUM(G8:G10)</f>
        <v>2</v>
      </c>
      <c r="V4" s="117" t="s">
        <v>417</v>
      </c>
      <c r="W4" s="147">
        <f>SUM(F8:F10)</f>
        <v>3</v>
      </c>
      <c r="X4" s="180">
        <f t="shared" si="10"/>
        <v>2</v>
      </c>
      <c r="Y4" s="178">
        <f>X8</f>
        <v>0.8</v>
      </c>
      <c r="Z4" s="178">
        <f>X9</f>
        <v>0.85000000000000009</v>
      </c>
      <c r="AA4" s="178">
        <f>X10</f>
        <v>0.66666666666666652</v>
      </c>
      <c r="AB4" s="178">
        <f t="shared" si="11"/>
        <v>1.8</v>
      </c>
      <c r="AC4" s="184">
        <f t="shared" si="12"/>
        <v>1.85</v>
      </c>
      <c r="AD4" s="178">
        <f t="shared" si="13"/>
        <v>1.6666666666666665</v>
      </c>
      <c r="AE4" s="178">
        <f t="shared" si="14"/>
        <v>3.33</v>
      </c>
      <c r="AF4" s="178">
        <f t="shared" si="15"/>
        <v>3.083333333333333</v>
      </c>
      <c r="AG4" s="178">
        <f t="shared" si="16"/>
        <v>3</v>
      </c>
      <c r="AH4" s="178">
        <f t="shared" si="17"/>
        <v>5.55</v>
      </c>
      <c r="AI4" s="178">
        <f t="shared" si="18"/>
        <v>13.280000000000001</v>
      </c>
      <c r="AJ4" s="187" t="str">
        <f t="shared" si="19"/>
        <v>Alan White</v>
      </c>
      <c r="AK4" s="1">
        <f t="shared" si="20"/>
        <v>7</v>
      </c>
    </row>
    <row r="5" spans="1:77">
      <c r="B5" s="179" t="str">
        <f>$V3</f>
        <v>Alan Rogers</v>
      </c>
      <c r="C5" s="179" t="str">
        <f>Picks!B5</f>
        <v>Fleetwood</v>
      </c>
      <c r="D5" s="180">
        <f>Picks!C5</f>
        <v>7</v>
      </c>
      <c r="E5" s="180">
        <f>Picks!D5</f>
        <v>2.75</v>
      </c>
      <c r="F5" s="179">
        <f>IF(C5="","",INDEX(Odds!K:K,MATCH(C5,Odds!G:G,0)))</f>
        <v>1</v>
      </c>
      <c r="G5" s="179">
        <f>IF(C5="","",Picks!M5)</f>
        <v>0</v>
      </c>
      <c r="H5" s="180">
        <f t="shared" si="0"/>
        <v>0</v>
      </c>
      <c r="I5" s="186" t="str">
        <f t="shared" si="1"/>
        <v>Alex Griffin</v>
      </c>
      <c r="J5" s="178">
        <f>H11</f>
        <v>0</v>
      </c>
      <c r="K5" s="178">
        <f>H12</f>
        <v>0</v>
      </c>
      <c r="L5" s="178">
        <f>H13</f>
        <v>0</v>
      </c>
      <c r="M5" s="178">
        <f t="shared" si="2"/>
        <v>0</v>
      </c>
      <c r="N5" s="178">
        <f t="shared" si="3"/>
        <v>0</v>
      </c>
      <c r="O5" s="178">
        <f t="shared" si="4"/>
        <v>0</v>
      </c>
      <c r="P5" s="178">
        <f t="shared" si="5"/>
        <v>0</v>
      </c>
      <c r="Q5" s="178">
        <f t="shared" si="6"/>
        <v>0</v>
      </c>
      <c r="R5" s="178">
        <f t="shared" si="7"/>
        <v>0</v>
      </c>
      <c r="S5" s="178">
        <f t="shared" si="8"/>
        <v>0</v>
      </c>
      <c r="T5" s="178">
        <f t="shared" si="9"/>
        <v>-7</v>
      </c>
      <c r="U5" s="147">
        <f>SUM(G11:G13)</f>
        <v>0</v>
      </c>
      <c r="V5" s="117" t="s">
        <v>502</v>
      </c>
      <c r="W5" s="147">
        <f>SUM(F11:F13)</f>
        <v>3</v>
      </c>
      <c r="X5" s="180">
        <f t="shared" si="10"/>
        <v>1.75</v>
      </c>
      <c r="Y5" s="178">
        <f>X11</f>
        <v>4</v>
      </c>
      <c r="Z5" s="178">
        <f>X12</f>
        <v>5.5</v>
      </c>
      <c r="AA5" s="178">
        <f>X13</f>
        <v>1.4500000000000002</v>
      </c>
      <c r="AB5" s="178">
        <f t="shared" si="11"/>
        <v>5</v>
      </c>
      <c r="AC5" s="184">
        <f t="shared" si="12"/>
        <v>6.5</v>
      </c>
      <c r="AD5" s="178">
        <f t="shared" si="13"/>
        <v>2.4500000000000002</v>
      </c>
      <c r="AE5" s="178">
        <f t="shared" si="14"/>
        <v>32.5</v>
      </c>
      <c r="AF5" s="178">
        <f t="shared" si="15"/>
        <v>15.925000000000001</v>
      </c>
      <c r="AG5" s="178">
        <f t="shared" si="16"/>
        <v>12.25</v>
      </c>
      <c r="AH5" s="178">
        <f t="shared" si="17"/>
        <v>79.625</v>
      </c>
      <c r="AI5" s="178">
        <f t="shared" si="18"/>
        <v>147.25</v>
      </c>
      <c r="AJ5" s="187" t="str">
        <f t="shared" si="19"/>
        <v>Alex Griffin</v>
      </c>
      <c r="AK5" s="1">
        <f t="shared" si="20"/>
        <v>7</v>
      </c>
    </row>
    <row r="6" spans="1:77">
      <c r="B6" s="179"/>
      <c r="C6" s="179" t="str">
        <f>Picks!B6</f>
        <v>Gillingham</v>
      </c>
      <c r="D6" s="180">
        <f>Picks!C6</f>
        <v>7</v>
      </c>
      <c r="E6" s="180">
        <f>Picks!D6</f>
        <v>2.2999999999999998</v>
      </c>
      <c r="F6" s="179">
        <f>IF(C6="","",INDEX(Odds!K:K,MATCH(C6,Odds!G:G,0)))</f>
        <v>1</v>
      </c>
      <c r="G6" s="179">
        <f>IF(C6="","",Picks!M6)</f>
        <v>1</v>
      </c>
      <c r="H6" s="180">
        <f t="shared" si="0"/>
        <v>1.2999999999999998</v>
      </c>
      <c r="I6" s="186" t="str">
        <f t="shared" si="1"/>
        <v>Alick Rocca</v>
      </c>
      <c r="J6" s="178">
        <f>H14</f>
        <v>0</v>
      </c>
      <c r="K6" s="178">
        <f>H15</f>
        <v>0</v>
      </c>
      <c r="L6" s="178">
        <f>H16</f>
        <v>2.2000000000000002</v>
      </c>
      <c r="M6" s="178">
        <f t="shared" si="2"/>
        <v>0</v>
      </c>
      <c r="N6" s="178">
        <f t="shared" si="3"/>
        <v>0</v>
      </c>
      <c r="O6" s="178">
        <f t="shared" si="4"/>
        <v>3.2</v>
      </c>
      <c r="P6" s="178">
        <f t="shared" si="5"/>
        <v>0</v>
      </c>
      <c r="Q6" s="178">
        <f t="shared" si="6"/>
        <v>0</v>
      </c>
      <c r="R6" s="178">
        <f t="shared" si="7"/>
        <v>0</v>
      </c>
      <c r="S6" s="178">
        <f t="shared" si="8"/>
        <v>0</v>
      </c>
      <c r="T6" s="178">
        <f t="shared" si="9"/>
        <v>-3.8</v>
      </c>
      <c r="U6" s="147">
        <f>SUM(G14:G16)</f>
        <v>1</v>
      </c>
      <c r="V6" s="120" t="s">
        <v>300</v>
      </c>
      <c r="W6" s="147">
        <f>SUM(F14:F16)</f>
        <v>3</v>
      </c>
      <c r="X6" s="180">
        <f t="shared" si="10"/>
        <v>1.2999999999999998</v>
      </c>
      <c r="Y6" s="178">
        <f>X14</f>
        <v>2.5</v>
      </c>
      <c r="Z6" s="178">
        <f>X15</f>
        <v>2</v>
      </c>
      <c r="AA6" s="178">
        <f>X16</f>
        <v>2.2000000000000002</v>
      </c>
      <c r="AB6" s="178">
        <f t="shared" si="11"/>
        <v>3.5</v>
      </c>
      <c r="AC6" s="184">
        <f t="shared" si="12"/>
        <v>3</v>
      </c>
      <c r="AD6" s="178">
        <f t="shared" si="13"/>
        <v>3.2</v>
      </c>
      <c r="AE6" s="178">
        <f t="shared" si="14"/>
        <v>10.5</v>
      </c>
      <c r="AF6" s="178">
        <f t="shared" si="15"/>
        <v>9.6000000000000014</v>
      </c>
      <c r="AG6" s="178">
        <f t="shared" si="16"/>
        <v>11.2</v>
      </c>
      <c r="AH6" s="178">
        <f t="shared" si="17"/>
        <v>33.6</v>
      </c>
      <c r="AI6" s="178">
        <f t="shared" si="18"/>
        <v>67.599999999999994</v>
      </c>
      <c r="AJ6" s="187" t="str">
        <f t="shared" si="19"/>
        <v>Alick Rocca</v>
      </c>
      <c r="AK6" s="1">
        <f t="shared" si="20"/>
        <v>7</v>
      </c>
    </row>
    <row r="7" spans="1:77" ht="13.15" thickBot="1">
      <c r="B7" s="181"/>
      <c r="C7" s="181" t="str">
        <f>Picks!B7</f>
        <v>Grimsby</v>
      </c>
      <c r="D7" s="182">
        <f>Picks!C7</f>
        <v>7</v>
      </c>
      <c r="E7" s="182">
        <f>Picks!D7</f>
        <v>2.15</v>
      </c>
      <c r="F7" s="181">
        <f>IF(C7="","",INDEX(Odds!K:K,MATCH(C7,Odds!G:G,0)))</f>
        <v>1</v>
      </c>
      <c r="G7" s="181">
        <f>IF(C7="","",Picks!M7)</f>
        <v>0</v>
      </c>
      <c r="H7" s="182">
        <f t="shared" si="0"/>
        <v>0</v>
      </c>
      <c r="I7" s="186" t="str">
        <f t="shared" si="1"/>
        <v>Andy White</v>
      </c>
      <c r="J7" s="178">
        <f>H17</f>
        <v>1.4</v>
      </c>
      <c r="K7" s="178">
        <f>H18</f>
        <v>0.90909090909090917</v>
      </c>
      <c r="L7" s="178">
        <f>H19</f>
        <v>1.1499999999999999</v>
      </c>
      <c r="M7" s="178">
        <f t="shared" si="2"/>
        <v>2.4</v>
      </c>
      <c r="N7" s="178">
        <f t="shared" si="3"/>
        <v>1.9090909090909092</v>
      </c>
      <c r="O7" s="178">
        <f t="shared" si="4"/>
        <v>2.15</v>
      </c>
      <c r="P7" s="178">
        <f t="shared" si="5"/>
        <v>4.581818181818182</v>
      </c>
      <c r="Q7" s="178">
        <f t="shared" si="6"/>
        <v>4.1045454545454545</v>
      </c>
      <c r="R7" s="178">
        <f t="shared" si="7"/>
        <v>5.16</v>
      </c>
      <c r="S7" s="178">
        <f t="shared" si="8"/>
        <v>9.8509090909090915</v>
      </c>
      <c r="T7" s="178">
        <f t="shared" si="9"/>
        <v>23.156363636363636</v>
      </c>
      <c r="U7" s="147">
        <f>SUM(G17:G19)</f>
        <v>3</v>
      </c>
      <c r="V7" s="117" t="s">
        <v>276</v>
      </c>
      <c r="W7" s="147">
        <f>SUM(F17:F19)</f>
        <v>3</v>
      </c>
      <c r="X7" s="180">
        <f t="shared" si="10"/>
        <v>1.1499999999999999</v>
      </c>
      <c r="Y7" s="178">
        <f>X17</f>
        <v>1.4</v>
      </c>
      <c r="Z7" s="178">
        <f>X18</f>
        <v>0.90909090909090917</v>
      </c>
      <c r="AA7" s="178">
        <f>X19</f>
        <v>1.1499999999999999</v>
      </c>
      <c r="AB7" s="178">
        <f t="shared" si="11"/>
        <v>2.4</v>
      </c>
      <c r="AC7" s="184">
        <f t="shared" si="12"/>
        <v>1.9090909090909092</v>
      </c>
      <c r="AD7" s="178">
        <f t="shared" si="13"/>
        <v>2.15</v>
      </c>
      <c r="AE7" s="178">
        <f t="shared" si="14"/>
        <v>4.581818181818182</v>
      </c>
      <c r="AF7" s="178">
        <f t="shared" si="15"/>
        <v>4.1045454545454545</v>
      </c>
      <c r="AG7" s="178">
        <f t="shared" si="16"/>
        <v>5.16</v>
      </c>
      <c r="AH7" s="178">
        <f t="shared" si="17"/>
        <v>9.8509090909090915</v>
      </c>
      <c r="AI7" s="178">
        <f t="shared" si="18"/>
        <v>23.156363636363636</v>
      </c>
      <c r="AJ7" s="187" t="str">
        <f t="shared" si="19"/>
        <v>Andy White</v>
      </c>
      <c r="AK7" s="1">
        <f t="shared" si="20"/>
        <v>7</v>
      </c>
    </row>
    <row r="8" spans="1:77">
      <c r="B8" s="179" t="str">
        <f>$V4</f>
        <v>Alan White</v>
      </c>
      <c r="C8" s="179" t="str">
        <f>Picks!B8</f>
        <v>West Brom</v>
      </c>
      <c r="D8" s="180">
        <f>Picks!C8</f>
        <v>7</v>
      </c>
      <c r="E8" s="180">
        <f>Picks!D8</f>
        <v>1.8</v>
      </c>
      <c r="F8" s="179">
        <f>IF(C8="","",INDEX(Odds!K:K,MATCH(C8,Odds!G:G,0)))</f>
        <v>1</v>
      </c>
      <c r="G8" s="179">
        <f>IF(C8="","",Picks!M8)</f>
        <v>0</v>
      </c>
      <c r="H8" s="180">
        <f t="shared" si="0"/>
        <v>0</v>
      </c>
      <c r="I8" s="186" t="str">
        <f t="shared" si="1"/>
        <v>Barry Birchall</v>
      </c>
      <c r="J8" s="178">
        <f>H20</f>
        <v>0.44444444444444442</v>
      </c>
      <c r="K8" s="178">
        <f>H21</f>
        <v>0</v>
      </c>
      <c r="L8" s="178">
        <f>H22</f>
        <v>0.66666666666666652</v>
      </c>
      <c r="M8" s="178">
        <f t="shared" si="2"/>
        <v>1.4444444444444444</v>
      </c>
      <c r="N8" s="178">
        <f t="shared" si="3"/>
        <v>0</v>
      </c>
      <c r="O8" s="178">
        <f t="shared" si="4"/>
        <v>1.6666666666666665</v>
      </c>
      <c r="P8" s="178">
        <f t="shared" si="5"/>
        <v>0</v>
      </c>
      <c r="Q8" s="178">
        <f t="shared" si="6"/>
        <v>0</v>
      </c>
      <c r="R8" s="178">
        <f t="shared" si="7"/>
        <v>2.407407407407407</v>
      </c>
      <c r="S8" s="178">
        <f t="shared" si="8"/>
        <v>0</v>
      </c>
      <c r="T8" s="178">
        <f t="shared" si="9"/>
        <v>-1.4814814814814827</v>
      </c>
      <c r="U8" s="147">
        <f>SUM(G20:G22)</f>
        <v>2</v>
      </c>
      <c r="V8" s="120" t="s">
        <v>270</v>
      </c>
      <c r="W8" s="147">
        <f>SUM(F20:F22)</f>
        <v>3</v>
      </c>
      <c r="X8" s="180">
        <f t="shared" si="10"/>
        <v>0.8</v>
      </c>
      <c r="Y8" s="178">
        <f>X20</f>
        <v>0.44444444444444442</v>
      </c>
      <c r="Z8" s="178">
        <f>X21</f>
        <v>1.5</v>
      </c>
      <c r="AA8" s="178">
        <f>X22</f>
        <v>0.66666666666666652</v>
      </c>
      <c r="AB8" s="178">
        <f t="shared" si="11"/>
        <v>1.4444444444444444</v>
      </c>
      <c r="AC8" s="184">
        <f t="shared" si="12"/>
        <v>2.5</v>
      </c>
      <c r="AD8" s="178">
        <f t="shared" si="13"/>
        <v>1.6666666666666665</v>
      </c>
      <c r="AE8" s="178">
        <f t="shared" si="14"/>
        <v>3.6111111111111107</v>
      </c>
      <c r="AF8" s="178">
        <f t="shared" si="15"/>
        <v>4.1666666666666661</v>
      </c>
      <c r="AG8" s="178">
        <f t="shared" si="16"/>
        <v>2.407407407407407</v>
      </c>
      <c r="AH8" s="178">
        <f t="shared" si="17"/>
        <v>6.0185185185185173</v>
      </c>
      <c r="AI8" s="178">
        <f t="shared" si="18"/>
        <v>14.81481481481481</v>
      </c>
      <c r="AJ8" s="187" t="str">
        <f t="shared" si="19"/>
        <v>Barry Birchall</v>
      </c>
      <c r="AK8" s="1">
        <f t="shared" si="20"/>
        <v>7</v>
      </c>
    </row>
    <row r="9" spans="1:77">
      <c r="B9" s="179"/>
      <c r="C9" s="179" t="str">
        <f>Picks!B9</f>
        <v>Barnsley</v>
      </c>
      <c r="D9" s="180">
        <f>Picks!C9</f>
        <v>7</v>
      </c>
      <c r="E9" s="180">
        <f>Picks!D9</f>
        <v>1.85</v>
      </c>
      <c r="F9" s="179">
        <f>IF(C9="","",INDEX(Odds!K:K,MATCH(C9,Odds!G:G,0)))</f>
        <v>1</v>
      </c>
      <c r="G9" s="179">
        <f>IF(C9="","",Picks!M9)</f>
        <v>1</v>
      </c>
      <c r="H9" s="180">
        <f t="shared" si="0"/>
        <v>0.85000000000000009</v>
      </c>
      <c r="I9" s="186" t="str">
        <f t="shared" si="1"/>
        <v>Ben Rosser</v>
      </c>
      <c r="J9" s="178">
        <f>H23</f>
        <v>2.2000000000000002</v>
      </c>
      <c r="K9" s="178">
        <f>H24</f>
        <v>0.90909090909090917</v>
      </c>
      <c r="L9" s="178">
        <f>H25</f>
        <v>0</v>
      </c>
      <c r="M9" s="178">
        <f t="shared" si="2"/>
        <v>3.2</v>
      </c>
      <c r="N9" s="178">
        <f t="shared" si="3"/>
        <v>1.9090909090909092</v>
      </c>
      <c r="O9" s="178">
        <f t="shared" si="4"/>
        <v>0</v>
      </c>
      <c r="P9" s="178">
        <f t="shared" si="5"/>
        <v>6.1090909090909093</v>
      </c>
      <c r="Q9" s="178">
        <f t="shared" si="6"/>
        <v>0</v>
      </c>
      <c r="R9" s="178">
        <f t="shared" si="7"/>
        <v>0</v>
      </c>
      <c r="S9" s="178">
        <f t="shared" si="8"/>
        <v>0</v>
      </c>
      <c r="T9" s="178">
        <f t="shared" si="9"/>
        <v>4.2181818181818187</v>
      </c>
      <c r="U9" s="147">
        <f>SUM(G23:G25)</f>
        <v>2</v>
      </c>
      <c r="V9" s="120" t="s">
        <v>348</v>
      </c>
      <c r="W9" s="147">
        <f>SUM(F23:F25)</f>
        <v>3</v>
      </c>
      <c r="X9" s="180">
        <f t="shared" si="10"/>
        <v>0.85000000000000009</v>
      </c>
      <c r="Y9" s="178">
        <f>X23</f>
        <v>2.2000000000000002</v>
      </c>
      <c r="Z9" s="178">
        <f>X24</f>
        <v>0.90909090909090917</v>
      </c>
      <c r="AA9" s="178">
        <f>X25</f>
        <v>3.5999999999999996</v>
      </c>
      <c r="AB9" s="178">
        <f t="shared" si="11"/>
        <v>3.2</v>
      </c>
      <c r="AC9" s="184">
        <f t="shared" si="12"/>
        <v>1.9090909090909092</v>
      </c>
      <c r="AD9" s="178">
        <f t="shared" si="13"/>
        <v>4.5999999999999996</v>
      </c>
      <c r="AE9" s="178">
        <f t="shared" si="14"/>
        <v>6.1090909090909093</v>
      </c>
      <c r="AF9" s="178">
        <f t="shared" si="15"/>
        <v>8.7818181818181813</v>
      </c>
      <c r="AG9" s="178">
        <f t="shared" si="16"/>
        <v>14.719999999999999</v>
      </c>
      <c r="AH9" s="178">
        <f t="shared" si="17"/>
        <v>28.101818181818182</v>
      </c>
      <c r="AI9" s="178">
        <f t="shared" si="18"/>
        <v>60.421818181818182</v>
      </c>
      <c r="AJ9" s="187" t="str">
        <f t="shared" si="19"/>
        <v>Ben Rosser</v>
      </c>
      <c r="AK9" s="1">
        <f t="shared" si="20"/>
        <v>7</v>
      </c>
    </row>
    <row r="10" spans="1:77" ht="13.15" thickBot="1">
      <c r="B10" s="181"/>
      <c r="C10" s="181" t="str">
        <f>Picks!B10</f>
        <v>Swindon</v>
      </c>
      <c r="D10" s="182">
        <f>Picks!C10</f>
        <v>7</v>
      </c>
      <c r="E10" s="182">
        <f>Picks!D10</f>
        <v>1.6666666666666665</v>
      </c>
      <c r="F10" s="181">
        <f>IF(C10="","",INDEX(Odds!K:K,MATCH(C10,Odds!G:G,0)))</f>
        <v>1</v>
      </c>
      <c r="G10" s="181">
        <f>IF(C10="","",Picks!M10)</f>
        <v>1</v>
      </c>
      <c r="H10" s="182">
        <f t="shared" si="0"/>
        <v>0.66666666666666652</v>
      </c>
      <c r="I10" s="186" t="str">
        <f t="shared" si="1"/>
        <v>Bob Bailey</v>
      </c>
      <c r="J10" s="178">
        <f>H26</f>
        <v>0.90909090909090917</v>
      </c>
      <c r="K10" s="178">
        <f>H27</f>
        <v>0</v>
      </c>
      <c r="L10" s="178">
        <f>H28</f>
        <v>1.1000000000000001</v>
      </c>
      <c r="M10" s="178">
        <f t="shared" si="2"/>
        <v>1.9090909090909092</v>
      </c>
      <c r="N10" s="178">
        <f t="shared" si="3"/>
        <v>0</v>
      </c>
      <c r="O10" s="178">
        <f t="shared" si="4"/>
        <v>2.1</v>
      </c>
      <c r="P10" s="178">
        <f t="shared" si="5"/>
        <v>0</v>
      </c>
      <c r="Q10" s="178">
        <f t="shared" si="6"/>
        <v>0</v>
      </c>
      <c r="R10" s="178">
        <f t="shared" si="7"/>
        <v>4.0090909090909097</v>
      </c>
      <c r="S10" s="178">
        <f t="shared" si="8"/>
        <v>0</v>
      </c>
      <c r="T10" s="178">
        <f t="shared" si="9"/>
        <v>1.0181818181818194</v>
      </c>
      <c r="U10" s="147">
        <f>SUM(G26:G28)</f>
        <v>2</v>
      </c>
      <c r="V10" s="117" t="s">
        <v>486</v>
      </c>
      <c r="W10" s="147">
        <f>SUM(F26:F28)</f>
        <v>3</v>
      </c>
      <c r="X10" s="180">
        <f t="shared" si="10"/>
        <v>0.66666666666666652</v>
      </c>
      <c r="Y10" s="178">
        <f>X26</f>
        <v>0.90909090909090917</v>
      </c>
      <c r="Z10" s="178">
        <f>X27</f>
        <v>0.61538461538461542</v>
      </c>
      <c r="AA10" s="178">
        <f>X28</f>
        <v>1.1000000000000001</v>
      </c>
      <c r="AB10" s="178">
        <f t="shared" si="11"/>
        <v>1.9090909090909092</v>
      </c>
      <c r="AC10" s="184">
        <f t="shared" si="12"/>
        <v>1.6153846153846154</v>
      </c>
      <c r="AD10" s="178">
        <f t="shared" si="13"/>
        <v>2.1</v>
      </c>
      <c r="AE10" s="178">
        <f t="shared" si="14"/>
        <v>3.0839160839160842</v>
      </c>
      <c r="AF10" s="178">
        <f t="shared" si="15"/>
        <v>3.3923076923076927</v>
      </c>
      <c r="AG10" s="178">
        <f t="shared" si="16"/>
        <v>4.0090909090909097</v>
      </c>
      <c r="AH10" s="178">
        <f t="shared" si="17"/>
        <v>6.4762237762237769</v>
      </c>
      <c r="AI10" s="178">
        <f t="shared" si="18"/>
        <v>15.586013986013988</v>
      </c>
      <c r="AJ10" s="187" t="str">
        <f t="shared" si="19"/>
        <v>Bob Bailey</v>
      </c>
      <c r="AK10" s="1">
        <f t="shared" si="20"/>
        <v>7</v>
      </c>
    </row>
    <row r="11" spans="1:77">
      <c r="B11" s="179" t="str">
        <f>$V5</f>
        <v>Alex Griffin</v>
      </c>
      <c r="C11" s="179" t="str">
        <f>Picks!B11</f>
        <v>Sunderland</v>
      </c>
      <c r="D11" s="180">
        <f>Picks!C11</f>
        <v>7</v>
      </c>
      <c r="E11" s="180">
        <f>Picks!D11</f>
        <v>5</v>
      </c>
      <c r="F11" s="179">
        <f>IF(C11="","",INDEX(Odds!K:K,MATCH(C11,Odds!G:G,0)))</f>
        <v>1</v>
      </c>
      <c r="G11" s="179">
        <f>IF(C11="","",Picks!M11)</f>
        <v>0</v>
      </c>
      <c r="H11" s="180">
        <f t="shared" si="0"/>
        <v>0</v>
      </c>
      <c r="I11" s="186" t="str">
        <f t="shared" si="1"/>
        <v>Charlie Griffiths</v>
      </c>
      <c r="J11" s="178">
        <f>H29</f>
        <v>1.5</v>
      </c>
      <c r="K11" s="178">
        <f>H30</f>
        <v>0</v>
      </c>
      <c r="L11" s="178">
        <f>H31</f>
        <v>2.2999999999999998</v>
      </c>
      <c r="M11" s="178">
        <f t="shared" si="2"/>
        <v>2.5</v>
      </c>
      <c r="N11" s="178">
        <f t="shared" si="3"/>
        <v>0</v>
      </c>
      <c r="O11" s="178">
        <f t="shared" si="4"/>
        <v>3.3</v>
      </c>
      <c r="P11" s="178">
        <f t="shared" si="5"/>
        <v>0</v>
      </c>
      <c r="Q11" s="178">
        <f t="shared" si="6"/>
        <v>0</v>
      </c>
      <c r="R11" s="178">
        <f t="shared" si="7"/>
        <v>8.25</v>
      </c>
      <c r="S11" s="178">
        <f t="shared" si="8"/>
        <v>0</v>
      </c>
      <c r="T11" s="178">
        <f t="shared" si="9"/>
        <v>7.0500000000000007</v>
      </c>
      <c r="U11" s="147">
        <f>SUM(G29:G31)</f>
        <v>2</v>
      </c>
      <c r="V11" s="117" t="s">
        <v>293</v>
      </c>
      <c r="W11" s="147">
        <f>SUM(F29:F31)</f>
        <v>3</v>
      </c>
      <c r="X11" s="180">
        <f t="shared" si="10"/>
        <v>4</v>
      </c>
      <c r="Y11" s="178">
        <f>X29</f>
        <v>1.5</v>
      </c>
      <c r="Z11" s="178">
        <f>X30</f>
        <v>1.5</v>
      </c>
      <c r="AA11" s="178">
        <f>X31</f>
        <v>2.2999999999999998</v>
      </c>
      <c r="AB11" s="178">
        <f t="shared" si="11"/>
        <v>2.5</v>
      </c>
      <c r="AC11" s="184">
        <f t="shared" si="12"/>
        <v>2.5</v>
      </c>
      <c r="AD11" s="178">
        <f t="shared" si="13"/>
        <v>3.3</v>
      </c>
      <c r="AE11" s="178">
        <f t="shared" si="14"/>
        <v>6.25</v>
      </c>
      <c r="AF11" s="178">
        <f t="shared" si="15"/>
        <v>8.25</v>
      </c>
      <c r="AG11" s="178">
        <f t="shared" si="16"/>
        <v>8.25</v>
      </c>
      <c r="AH11" s="178">
        <f t="shared" si="17"/>
        <v>20.625</v>
      </c>
      <c r="AI11" s="178">
        <f t="shared" si="18"/>
        <v>44.674999999999997</v>
      </c>
      <c r="AJ11" s="187" t="str">
        <f t="shared" si="19"/>
        <v>Charlie Griffiths</v>
      </c>
      <c r="AK11" s="1">
        <f t="shared" si="20"/>
        <v>7</v>
      </c>
    </row>
    <row r="12" spans="1:77">
      <c r="B12" s="179"/>
      <c r="C12" s="179" t="str">
        <f>Picks!B12</f>
        <v>Wolves</v>
      </c>
      <c r="D12" s="180">
        <f>Picks!C12</f>
        <v>7</v>
      </c>
      <c r="E12" s="180">
        <f>Picks!D12</f>
        <v>6.5</v>
      </c>
      <c r="F12" s="179">
        <f>IF(C12="","",INDEX(Odds!K:K,MATCH(C12,Odds!G:G,0)))</f>
        <v>1</v>
      </c>
      <c r="G12" s="179">
        <f>IF(C12="","",Picks!M12)</f>
        <v>0</v>
      </c>
      <c r="H12" s="180">
        <f t="shared" si="0"/>
        <v>0</v>
      </c>
      <c r="I12" s="186" t="str">
        <f t="shared" si="1"/>
        <v>Chris Bow</v>
      </c>
      <c r="J12" s="178">
        <f>H32</f>
        <v>1.4</v>
      </c>
      <c r="K12" s="178">
        <f>H33</f>
        <v>0.90909090909090917</v>
      </c>
      <c r="L12" s="178">
        <f>H34</f>
        <v>1.2999999999999998</v>
      </c>
      <c r="M12" s="178">
        <f t="shared" si="2"/>
        <v>2.4</v>
      </c>
      <c r="N12" s="178">
        <f t="shared" si="3"/>
        <v>1.9090909090909092</v>
      </c>
      <c r="O12" s="178">
        <f t="shared" si="4"/>
        <v>2.2999999999999998</v>
      </c>
      <c r="P12" s="178">
        <f t="shared" si="5"/>
        <v>4.581818181818182</v>
      </c>
      <c r="Q12" s="178">
        <f t="shared" si="6"/>
        <v>4.3909090909090907</v>
      </c>
      <c r="R12" s="178">
        <f t="shared" si="7"/>
        <v>5.52</v>
      </c>
      <c r="S12" s="178">
        <f t="shared" si="8"/>
        <v>10.538181818181819</v>
      </c>
      <c r="T12" s="178">
        <f t="shared" si="9"/>
        <v>24.64</v>
      </c>
      <c r="U12" s="147">
        <f>SUM(G32:G34)</f>
        <v>3</v>
      </c>
      <c r="V12" s="117" t="s">
        <v>297</v>
      </c>
      <c r="W12" s="147">
        <f>SUM(F32:F34)</f>
        <v>3</v>
      </c>
      <c r="X12" s="180">
        <f t="shared" si="10"/>
        <v>5.5</v>
      </c>
      <c r="Y12" s="178">
        <f>X32</f>
        <v>1.4</v>
      </c>
      <c r="Z12" s="178">
        <f>X33</f>
        <v>0.90909090909090917</v>
      </c>
      <c r="AA12" s="178">
        <f>X34</f>
        <v>1.2999999999999998</v>
      </c>
      <c r="AB12" s="178">
        <f t="shared" si="11"/>
        <v>2.4</v>
      </c>
      <c r="AC12" s="184">
        <f t="shared" si="12"/>
        <v>1.9090909090909092</v>
      </c>
      <c r="AD12" s="178">
        <f t="shared" si="13"/>
        <v>2.2999999999999998</v>
      </c>
      <c r="AE12" s="178">
        <f t="shared" si="14"/>
        <v>4.581818181818182</v>
      </c>
      <c r="AF12" s="178">
        <f t="shared" si="15"/>
        <v>4.3909090909090907</v>
      </c>
      <c r="AG12" s="178">
        <f t="shared" si="16"/>
        <v>5.52</v>
      </c>
      <c r="AH12" s="178">
        <f t="shared" si="17"/>
        <v>10.538181818181819</v>
      </c>
      <c r="AI12" s="178">
        <f t="shared" si="18"/>
        <v>24.64</v>
      </c>
      <c r="AJ12" s="187" t="str">
        <f t="shared" si="19"/>
        <v>Chris Bow</v>
      </c>
      <c r="AK12" s="1">
        <f t="shared" si="20"/>
        <v>7</v>
      </c>
    </row>
    <row r="13" spans="1:77" ht="13.15" thickBot="1">
      <c r="B13" s="181"/>
      <c r="C13" s="181" t="str">
        <f>Picks!B13</f>
        <v>Everton</v>
      </c>
      <c r="D13" s="182">
        <f>Picks!C13</f>
        <v>7</v>
      </c>
      <c r="E13" s="182">
        <f>Picks!D13</f>
        <v>2.4500000000000002</v>
      </c>
      <c r="F13" s="181">
        <f>IF(C13="","",INDEX(Odds!K:K,MATCH(C13,Odds!G:G,0)))</f>
        <v>1</v>
      </c>
      <c r="G13" s="181">
        <f>IF(C13="","",Picks!M13)</f>
        <v>0</v>
      </c>
      <c r="H13" s="182">
        <f t="shared" si="0"/>
        <v>0</v>
      </c>
      <c r="I13" s="186" t="str">
        <f t="shared" si="1"/>
        <v>Chris Griffin</v>
      </c>
      <c r="J13" s="178">
        <f>H35</f>
        <v>2.2000000000000002</v>
      </c>
      <c r="K13" s="178">
        <f>H36</f>
        <v>0.44444444444444442</v>
      </c>
      <c r="L13" s="178">
        <f>H37</f>
        <v>0</v>
      </c>
      <c r="M13" s="178">
        <f t="shared" si="2"/>
        <v>3.2</v>
      </c>
      <c r="N13" s="178">
        <f t="shared" si="3"/>
        <v>1.4444444444444444</v>
      </c>
      <c r="O13" s="178">
        <f t="shared" si="4"/>
        <v>0</v>
      </c>
      <c r="P13" s="178">
        <f t="shared" si="5"/>
        <v>4.6222222222222227</v>
      </c>
      <c r="Q13" s="178">
        <f t="shared" si="6"/>
        <v>0</v>
      </c>
      <c r="R13" s="178">
        <f t="shared" si="7"/>
        <v>0</v>
      </c>
      <c r="S13" s="178">
        <f t="shared" si="8"/>
        <v>0</v>
      </c>
      <c r="T13" s="178">
        <f t="shared" si="9"/>
        <v>2.2666666666666675</v>
      </c>
      <c r="U13" s="147">
        <f>SUM(G35:G37)</f>
        <v>2</v>
      </c>
      <c r="V13" s="117" t="s">
        <v>292</v>
      </c>
      <c r="W13" s="147">
        <f>SUM(F35:F37)</f>
        <v>3</v>
      </c>
      <c r="X13" s="180">
        <f t="shared" si="10"/>
        <v>1.4500000000000002</v>
      </c>
      <c r="Y13" s="178">
        <f>X35</f>
        <v>2.2000000000000002</v>
      </c>
      <c r="Z13" s="178">
        <f>X36</f>
        <v>0.44444444444444442</v>
      </c>
      <c r="AA13" s="178">
        <f>X37</f>
        <v>1.4500000000000002</v>
      </c>
      <c r="AB13" s="178">
        <f t="shared" si="11"/>
        <v>3.2</v>
      </c>
      <c r="AC13" s="184">
        <f t="shared" si="12"/>
        <v>1.4444444444444444</v>
      </c>
      <c r="AD13" s="178">
        <f t="shared" si="13"/>
        <v>2.4500000000000002</v>
      </c>
      <c r="AE13" s="178">
        <f t="shared" si="14"/>
        <v>4.6222222222222227</v>
      </c>
      <c r="AF13" s="178">
        <f t="shared" si="15"/>
        <v>3.5388888888888888</v>
      </c>
      <c r="AG13" s="178">
        <f t="shared" si="16"/>
        <v>7.8400000000000007</v>
      </c>
      <c r="AH13" s="178">
        <f t="shared" si="17"/>
        <v>11.324444444444445</v>
      </c>
      <c r="AI13" s="178">
        <f t="shared" si="18"/>
        <v>27.42</v>
      </c>
      <c r="AJ13" s="187" t="str">
        <f t="shared" si="19"/>
        <v>Chris Griffin</v>
      </c>
      <c r="AK13" s="1">
        <f t="shared" si="20"/>
        <v>7</v>
      </c>
    </row>
    <row r="14" spans="1:77">
      <c r="B14" s="179" t="str">
        <f>$V6</f>
        <v>Alick Rocca</v>
      </c>
      <c r="C14" s="179" t="str">
        <f>Picks!B14</f>
        <v>Bournemouth draw</v>
      </c>
      <c r="D14" s="180">
        <f>Picks!C14</f>
        <v>7</v>
      </c>
      <c r="E14" s="180">
        <f>Picks!D14</f>
        <v>3.5</v>
      </c>
      <c r="F14" s="179">
        <f>IF(C14="","",INDEX(Odds!K:K,MATCH(C14,Odds!G:G,0)))</f>
        <v>1</v>
      </c>
      <c r="G14" s="179">
        <f>IF(C14="","",Picks!M14)</f>
        <v>0</v>
      </c>
      <c r="H14" s="180">
        <f t="shared" si="0"/>
        <v>0</v>
      </c>
      <c r="I14" s="186" t="str">
        <f t="shared" si="1"/>
        <v>Chris Luck</v>
      </c>
      <c r="J14" s="178">
        <f>H38</f>
        <v>0</v>
      </c>
      <c r="K14" s="178">
        <f>H39</f>
        <v>1.1499999999999999</v>
      </c>
      <c r="L14" s="178">
        <f>H40</f>
        <v>0</v>
      </c>
      <c r="M14" s="178">
        <f t="shared" si="2"/>
        <v>0</v>
      </c>
      <c r="N14" s="178">
        <f t="shared" si="3"/>
        <v>2.15</v>
      </c>
      <c r="O14" s="178">
        <f t="shared" si="4"/>
        <v>0</v>
      </c>
      <c r="P14" s="178">
        <f t="shared" si="5"/>
        <v>0</v>
      </c>
      <c r="Q14" s="178">
        <f t="shared" si="6"/>
        <v>0</v>
      </c>
      <c r="R14" s="178">
        <f t="shared" si="7"/>
        <v>0</v>
      </c>
      <c r="S14" s="178">
        <f t="shared" si="8"/>
        <v>0</v>
      </c>
      <c r="T14" s="178">
        <f t="shared" si="9"/>
        <v>-4.8499999999999996</v>
      </c>
      <c r="U14" s="147">
        <f>SUM(G38:G40)</f>
        <v>1</v>
      </c>
      <c r="V14" s="117" t="s">
        <v>298</v>
      </c>
      <c r="W14" s="147">
        <f>SUM(F38:F40)</f>
        <v>3</v>
      </c>
      <c r="X14" s="180">
        <f t="shared" si="10"/>
        <v>2.5</v>
      </c>
      <c r="Y14" s="178">
        <f>X38</f>
        <v>1.4500000000000002</v>
      </c>
      <c r="Z14" s="178">
        <f>X39</f>
        <v>1.1499999999999999</v>
      </c>
      <c r="AA14" s="178">
        <f>X40</f>
        <v>1.2999999999999998</v>
      </c>
      <c r="AB14" s="178">
        <f t="shared" si="11"/>
        <v>2.4500000000000002</v>
      </c>
      <c r="AC14" s="184">
        <f t="shared" si="12"/>
        <v>2.15</v>
      </c>
      <c r="AD14" s="178">
        <f t="shared" si="13"/>
        <v>2.2999999999999998</v>
      </c>
      <c r="AE14" s="178">
        <f t="shared" si="14"/>
        <v>5.2675000000000001</v>
      </c>
      <c r="AF14" s="178">
        <f t="shared" si="15"/>
        <v>4.9449999999999994</v>
      </c>
      <c r="AG14" s="178">
        <f t="shared" si="16"/>
        <v>5.6349999999999998</v>
      </c>
      <c r="AH14" s="178">
        <f t="shared" si="17"/>
        <v>12.11525</v>
      </c>
      <c r="AI14" s="178">
        <f t="shared" si="18"/>
        <v>27.862750000000005</v>
      </c>
      <c r="AJ14" s="187" t="str">
        <f t="shared" si="19"/>
        <v>Chris Luck</v>
      </c>
      <c r="AK14" s="1">
        <f t="shared" si="20"/>
        <v>7</v>
      </c>
    </row>
    <row r="15" spans="1:77">
      <c r="B15" s="179"/>
      <c r="C15" s="179" t="str">
        <f>Picks!B15</f>
        <v>Accrington draw</v>
      </c>
      <c r="D15" s="180">
        <f>Picks!C15</f>
        <v>7</v>
      </c>
      <c r="E15" s="180">
        <f>Picks!D15</f>
        <v>3</v>
      </c>
      <c r="F15" s="179">
        <f>IF(C15="","",INDEX(Odds!K:K,MATCH(C15,Odds!G:G,0)))</f>
        <v>1</v>
      </c>
      <c r="G15" s="179">
        <f>IF(C15="","",Picks!M15)</f>
        <v>0</v>
      </c>
      <c r="H15" s="180">
        <f t="shared" si="0"/>
        <v>0</v>
      </c>
      <c r="I15" s="186" t="str">
        <f t="shared" si="1"/>
        <v>Dan Gibbard</v>
      </c>
      <c r="J15" s="178">
        <f>H41</f>
        <v>0</v>
      </c>
      <c r="K15" s="178">
        <f>H42</f>
        <v>3</v>
      </c>
      <c r="L15" s="178">
        <f>H43</f>
        <v>2.7</v>
      </c>
      <c r="M15" s="178">
        <f t="shared" si="2"/>
        <v>0</v>
      </c>
      <c r="N15" s="178">
        <f t="shared" si="3"/>
        <v>4</v>
      </c>
      <c r="O15" s="178">
        <f t="shared" si="4"/>
        <v>3.7</v>
      </c>
      <c r="P15" s="178">
        <f t="shared" si="5"/>
        <v>0</v>
      </c>
      <c r="Q15" s="178">
        <f t="shared" si="6"/>
        <v>14.8</v>
      </c>
      <c r="R15" s="178">
        <f t="shared" si="7"/>
        <v>0</v>
      </c>
      <c r="S15" s="178">
        <f t="shared" si="8"/>
        <v>0</v>
      </c>
      <c r="T15" s="178">
        <f t="shared" si="9"/>
        <v>15.5</v>
      </c>
      <c r="U15" s="147">
        <f>SUM(G41:G43)</f>
        <v>2</v>
      </c>
      <c r="V15" s="117" t="s">
        <v>487</v>
      </c>
      <c r="W15" s="147">
        <f>SUM(F41:F43)</f>
        <v>3</v>
      </c>
      <c r="X15" s="180">
        <f t="shared" si="10"/>
        <v>2</v>
      </c>
      <c r="Y15" s="178">
        <f>X41</f>
        <v>0.8</v>
      </c>
      <c r="Z15" s="178">
        <f>X42</f>
        <v>3</v>
      </c>
      <c r="AA15" s="178">
        <f>X43</f>
        <v>2.7</v>
      </c>
      <c r="AB15" s="178">
        <f t="shared" si="11"/>
        <v>1.8</v>
      </c>
      <c r="AC15" s="184">
        <f t="shared" si="12"/>
        <v>4</v>
      </c>
      <c r="AD15" s="178">
        <f t="shared" si="13"/>
        <v>3.7</v>
      </c>
      <c r="AE15" s="178">
        <f t="shared" si="14"/>
        <v>7.2</v>
      </c>
      <c r="AF15" s="178">
        <f t="shared" si="15"/>
        <v>14.8</v>
      </c>
      <c r="AG15" s="178">
        <f t="shared" si="16"/>
        <v>6.66</v>
      </c>
      <c r="AH15" s="178">
        <f t="shared" si="17"/>
        <v>26.64</v>
      </c>
      <c r="AI15" s="178">
        <f t="shared" si="18"/>
        <v>57.8</v>
      </c>
      <c r="AJ15" s="187" t="str">
        <f t="shared" si="19"/>
        <v>Dan Gibbard</v>
      </c>
      <c r="AK15" s="1">
        <f t="shared" si="20"/>
        <v>7</v>
      </c>
    </row>
    <row r="16" spans="1:77" ht="13.15" thickBot="1">
      <c r="B16" s="181"/>
      <c r="C16" s="181" t="str">
        <f>Picks!B16</f>
        <v>Chesterfield draw</v>
      </c>
      <c r="D16" s="182">
        <f>Picks!C16</f>
        <v>7</v>
      </c>
      <c r="E16" s="182">
        <f>Picks!D16</f>
        <v>3.2</v>
      </c>
      <c r="F16" s="181">
        <f>IF(C16="","",INDEX(Odds!K:K,MATCH(C16,Odds!G:G,0)))</f>
        <v>1</v>
      </c>
      <c r="G16" s="181">
        <f>IF(C16="","",Picks!M16)</f>
        <v>1</v>
      </c>
      <c r="H16" s="182">
        <f t="shared" si="0"/>
        <v>2.2000000000000002</v>
      </c>
      <c r="I16" s="186" t="str">
        <f t="shared" si="1"/>
        <v>Dave Bell</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17" t="s">
        <v>353</v>
      </c>
      <c r="W16" s="147">
        <f>SUM(F44:F46)</f>
        <v>3</v>
      </c>
      <c r="X16" s="180">
        <f t="shared" si="10"/>
        <v>2.2000000000000002</v>
      </c>
      <c r="Y16" s="178">
        <f>X44</f>
        <v>6.5</v>
      </c>
      <c r="Z16" s="178">
        <f>X45</f>
        <v>5.5</v>
      </c>
      <c r="AA16" s="178">
        <f>X46</f>
        <v>4</v>
      </c>
      <c r="AB16" s="178">
        <f t="shared" si="11"/>
        <v>7.5</v>
      </c>
      <c r="AC16" s="184">
        <f t="shared" si="12"/>
        <v>6.5</v>
      </c>
      <c r="AD16" s="178">
        <f t="shared" si="13"/>
        <v>5</v>
      </c>
      <c r="AE16" s="178">
        <f t="shared" si="14"/>
        <v>48.75</v>
      </c>
      <c r="AF16" s="178">
        <f t="shared" si="15"/>
        <v>32.5</v>
      </c>
      <c r="AG16" s="178">
        <f t="shared" si="16"/>
        <v>37.5</v>
      </c>
      <c r="AH16" s="178">
        <f t="shared" si="17"/>
        <v>243.75</v>
      </c>
      <c r="AI16" s="178">
        <f t="shared" si="18"/>
        <v>374.5</v>
      </c>
      <c r="AJ16" s="187" t="str">
        <f t="shared" si="19"/>
        <v>Dave Bell</v>
      </c>
      <c r="AK16" s="1">
        <f t="shared" si="20"/>
        <v>7</v>
      </c>
    </row>
    <row r="17" spans="2:37">
      <c r="B17" s="179" t="str">
        <f>$V7</f>
        <v>Andy White</v>
      </c>
      <c r="C17" s="179" t="str">
        <f>Picks!B17</f>
        <v>Bournemouth</v>
      </c>
      <c r="D17" s="180">
        <f>Picks!C17</f>
        <v>7</v>
      </c>
      <c r="E17" s="180">
        <f>Picks!D17</f>
        <v>2.4</v>
      </c>
      <c r="F17" s="179">
        <f>IF(C17="","",INDEX(Odds!K:K,MATCH(C17,Odds!G:G,0)))</f>
        <v>1</v>
      </c>
      <c r="G17" s="179">
        <f>IF(C17="","",Picks!M17)</f>
        <v>1</v>
      </c>
      <c r="H17" s="180">
        <f t="shared" si="0"/>
        <v>1.4</v>
      </c>
      <c r="I17" s="186" t="str">
        <f t="shared" si="1"/>
        <v>David Dunn</v>
      </c>
      <c r="J17" s="178">
        <f>H47</f>
        <v>0</v>
      </c>
      <c r="K17" s="178">
        <f>H48</f>
        <v>0</v>
      </c>
      <c r="L17" s="178">
        <f>H49</f>
        <v>1.1499999999999999</v>
      </c>
      <c r="M17" s="178">
        <f t="shared" si="2"/>
        <v>0</v>
      </c>
      <c r="N17" s="178">
        <f t="shared" si="3"/>
        <v>0</v>
      </c>
      <c r="O17" s="178">
        <f t="shared" si="4"/>
        <v>2.15</v>
      </c>
      <c r="P17" s="178">
        <f t="shared" si="5"/>
        <v>0</v>
      </c>
      <c r="Q17" s="178">
        <f t="shared" si="6"/>
        <v>0</v>
      </c>
      <c r="R17" s="178">
        <f t="shared" si="7"/>
        <v>0</v>
      </c>
      <c r="S17" s="178">
        <f t="shared" si="8"/>
        <v>0</v>
      </c>
      <c r="T17" s="178">
        <f t="shared" si="9"/>
        <v>-4.8499999999999996</v>
      </c>
      <c r="U17" s="147">
        <f>SUM(G47:G49)</f>
        <v>1</v>
      </c>
      <c r="V17" s="120" t="s">
        <v>349</v>
      </c>
      <c r="W17" s="147">
        <f>SUM(F47:F49)</f>
        <v>3</v>
      </c>
      <c r="X17" s="180">
        <f t="shared" si="10"/>
        <v>1.4</v>
      </c>
      <c r="Y17" s="178">
        <f>X47</f>
        <v>0.75</v>
      </c>
      <c r="Z17" s="178">
        <f>X48</f>
        <v>2.9</v>
      </c>
      <c r="AA17" s="178">
        <f>X49</f>
        <v>1.1499999999999999</v>
      </c>
      <c r="AB17" s="178">
        <f t="shared" si="11"/>
        <v>1.75</v>
      </c>
      <c r="AC17" s="184">
        <f t="shared" si="12"/>
        <v>3.9</v>
      </c>
      <c r="AD17" s="178">
        <f t="shared" si="13"/>
        <v>2.15</v>
      </c>
      <c r="AE17" s="178">
        <f t="shared" si="14"/>
        <v>6.8250000000000002</v>
      </c>
      <c r="AF17" s="178">
        <f t="shared" si="15"/>
        <v>8.3849999999999998</v>
      </c>
      <c r="AG17" s="178">
        <f t="shared" si="16"/>
        <v>3.7624999999999997</v>
      </c>
      <c r="AH17" s="178">
        <f t="shared" si="17"/>
        <v>14.67375</v>
      </c>
      <c r="AI17" s="178">
        <f t="shared" si="18"/>
        <v>34.446249999999999</v>
      </c>
      <c r="AJ17" s="187" t="str">
        <f t="shared" si="19"/>
        <v>David Dunn</v>
      </c>
      <c r="AK17" s="1">
        <f t="shared" si="20"/>
        <v>7</v>
      </c>
    </row>
    <row r="18" spans="2:37">
      <c r="B18" s="179"/>
      <c r="C18" s="179" t="str">
        <f>Picks!B18</f>
        <v>Fulham</v>
      </c>
      <c r="D18" s="180">
        <f>Picks!C18</f>
        <v>7</v>
      </c>
      <c r="E18" s="180">
        <f>Picks!D18</f>
        <v>1.9090909090909092</v>
      </c>
      <c r="F18" s="179">
        <f>IF(C18="","",INDEX(Odds!K:K,MATCH(C18,Odds!G:G,0)))</f>
        <v>1</v>
      </c>
      <c r="G18" s="179">
        <f>IF(C18="","",Picks!M18)</f>
        <v>1</v>
      </c>
      <c r="H18" s="180">
        <f t="shared" si="0"/>
        <v>0.90909090909090917</v>
      </c>
      <c r="I18" s="186" t="str">
        <f t="shared" si="1"/>
        <v>Frank Allen</v>
      </c>
      <c r="J18" s="178">
        <f>H50</f>
        <v>0</v>
      </c>
      <c r="K18" s="178">
        <f>H51</f>
        <v>2</v>
      </c>
      <c r="L18" s="178">
        <f>H52</f>
        <v>0.85000000000000009</v>
      </c>
      <c r="M18" s="178">
        <f t="shared" si="2"/>
        <v>0</v>
      </c>
      <c r="N18" s="178">
        <f t="shared" si="3"/>
        <v>3</v>
      </c>
      <c r="O18" s="178">
        <f t="shared" si="4"/>
        <v>1.85</v>
      </c>
      <c r="P18" s="178">
        <f t="shared" si="5"/>
        <v>0</v>
      </c>
      <c r="Q18" s="178">
        <f t="shared" si="6"/>
        <v>5.5500000000000007</v>
      </c>
      <c r="R18" s="178">
        <f t="shared" si="7"/>
        <v>0</v>
      </c>
      <c r="S18" s="178">
        <f t="shared" si="8"/>
        <v>0</v>
      </c>
      <c r="T18" s="178">
        <f t="shared" si="9"/>
        <v>3.4000000000000004</v>
      </c>
      <c r="U18" s="147">
        <f>SUM(G50:G52)</f>
        <v>2</v>
      </c>
      <c r="V18" s="117" t="s">
        <v>488</v>
      </c>
      <c r="W18" s="147">
        <f>SUM(F50:F52)</f>
        <v>3</v>
      </c>
      <c r="X18" s="180">
        <f t="shared" si="10"/>
        <v>0.90909090909090917</v>
      </c>
      <c r="Y18" s="178">
        <f>X50</f>
        <v>0.72727272727272729</v>
      </c>
      <c r="Z18" s="178">
        <f>X51</f>
        <v>2</v>
      </c>
      <c r="AA18" s="178">
        <f>X52</f>
        <v>0.85000000000000009</v>
      </c>
      <c r="AB18" s="178">
        <f t="shared" si="11"/>
        <v>1.7272727272727273</v>
      </c>
      <c r="AC18" s="184">
        <f t="shared" si="12"/>
        <v>3</v>
      </c>
      <c r="AD18" s="178">
        <f t="shared" si="13"/>
        <v>1.85</v>
      </c>
      <c r="AE18" s="178">
        <f t="shared" si="14"/>
        <v>5.1818181818181817</v>
      </c>
      <c r="AF18" s="178">
        <f t="shared" si="15"/>
        <v>5.5500000000000007</v>
      </c>
      <c r="AG18" s="178">
        <f t="shared" si="16"/>
        <v>3.1954545454545453</v>
      </c>
      <c r="AH18" s="178">
        <f t="shared" si="17"/>
        <v>9.586363636363636</v>
      </c>
      <c r="AI18" s="178">
        <f t="shared" si="18"/>
        <v>23.090909090909093</v>
      </c>
      <c r="AJ18" s="187" t="str">
        <f t="shared" si="19"/>
        <v>Frank Allen</v>
      </c>
      <c r="AK18" s="1">
        <f t="shared" si="20"/>
        <v>7</v>
      </c>
    </row>
    <row r="19" spans="2:37" ht="13.15" thickBot="1">
      <c r="B19" s="181"/>
      <c r="C19" s="181" t="str">
        <f>Picks!B19</f>
        <v>Spurs</v>
      </c>
      <c r="D19" s="182">
        <f>Picks!C19</f>
        <v>7</v>
      </c>
      <c r="E19" s="182">
        <f>Picks!D19</f>
        <v>2.15</v>
      </c>
      <c r="F19" s="181">
        <f>IF(C19="","",INDEX(Odds!K:K,MATCH(C19,Odds!G:G,0)))</f>
        <v>1</v>
      </c>
      <c r="G19" s="181">
        <f>IF(C19="","",Picks!M19)</f>
        <v>1</v>
      </c>
      <c r="H19" s="182">
        <f t="shared" si="0"/>
        <v>1.1499999999999999</v>
      </c>
      <c r="I19" s="186" t="str">
        <f t="shared" si="1"/>
        <v>Gareth Powell</v>
      </c>
      <c r="J19" s="178">
        <f>H53</f>
        <v>0</v>
      </c>
      <c r="K19" s="178">
        <f>H54</f>
        <v>1.1499999999999999</v>
      </c>
      <c r="L19" s="178">
        <f>H55</f>
        <v>0</v>
      </c>
      <c r="M19" s="178">
        <f t="shared" si="2"/>
        <v>0</v>
      </c>
      <c r="N19" s="178">
        <f t="shared" si="3"/>
        <v>2.15</v>
      </c>
      <c r="O19" s="178">
        <f t="shared" si="4"/>
        <v>0</v>
      </c>
      <c r="P19" s="178">
        <f t="shared" si="5"/>
        <v>0</v>
      </c>
      <c r="Q19" s="178">
        <f t="shared" si="6"/>
        <v>0</v>
      </c>
      <c r="R19" s="178">
        <f t="shared" si="7"/>
        <v>0</v>
      </c>
      <c r="S19" s="178">
        <f t="shared" si="8"/>
        <v>0</v>
      </c>
      <c r="T19" s="178">
        <f t="shared" si="9"/>
        <v>-4.8499999999999996</v>
      </c>
      <c r="U19" s="147">
        <f>SUM(G53:G55)</f>
        <v>1</v>
      </c>
      <c r="V19" s="120" t="s">
        <v>283</v>
      </c>
      <c r="W19" s="147">
        <f>SUM(F53:F55)</f>
        <v>3</v>
      </c>
      <c r="X19" s="180">
        <f t="shared" si="10"/>
        <v>1.1499999999999999</v>
      </c>
      <c r="Y19" s="178">
        <f>X53</f>
        <v>1.4500000000000002</v>
      </c>
      <c r="Z19" s="178">
        <f>X54</f>
        <v>1.1499999999999999</v>
      </c>
      <c r="AA19" s="178">
        <f>X55</f>
        <v>1.5</v>
      </c>
      <c r="AB19" s="178">
        <f t="shared" si="11"/>
        <v>2.4500000000000002</v>
      </c>
      <c r="AC19" s="184">
        <f t="shared" si="12"/>
        <v>2.15</v>
      </c>
      <c r="AD19" s="178">
        <f t="shared" si="13"/>
        <v>2.5</v>
      </c>
      <c r="AE19" s="178">
        <f t="shared" si="14"/>
        <v>5.2675000000000001</v>
      </c>
      <c r="AF19" s="178">
        <f t="shared" si="15"/>
        <v>5.375</v>
      </c>
      <c r="AG19" s="178">
        <f t="shared" si="16"/>
        <v>6.125</v>
      </c>
      <c r="AH19" s="178">
        <f t="shared" si="17"/>
        <v>13.168749999999999</v>
      </c>
      <c r="AI19" s="178">
        <f t="shared" si="18"/>
        <v>30.036249999999995</v>
      </c>
      <c r="AJ19" s="187" t="str">
        <f t="shared" si="19"/>
        <v>Gareth Powell</v>
      </c>
      <c r="AK19" s="1">
        <f t="shared" si="20"/>
        <v>7</v>
      </c>
    </row>
    <row r="20" spans="2:37">
      <c r="B20" s="180" t="str">
        <f>$V8</f>
        <v>Barry Birchall</v>
      </c>
      <c r="C20" s="179" t="str">
        <f>Picks!B20</f>
        <v>Newcastle</v>
      </c>
      <c r="D20" s="180">
        <f>Picks!C20</f>
        <v>7</v>
      </c>
      <c r="E20" s="180">
        <f>Picks!D20</f>
        <v>1.4444444444444444</v>
      </c>
      <c r="F20" s="179">
        <f>IF(C20="","",INDEX(Odds!K:K,MATCH(C20,Odds!G:G,0)))</f>
        <v>1</v>
      </c>
      <c r="G20" s="179">
        <f>IF(C20="","",Picks!M20)</f>
        <v>1</v>
      </c>
      <c r="H20" s="180">
        <f t="shared" si="0"/>
        <v>0.44444444444444442</v>
      </c>
      <c r="I20" s="186" t="str">
        <f t="shared" si="1"/>
        <v>Gerard Ventom</v>
      </c>
      <c r="J20" s="178">
        <f>H56</f>
        <v>0</v>
      </c>
      <c r="K20" s="178">
        <f>H57</f>
        <v>2.2000000000000002</v>
      </c>
      <c r="L20" s="178">
        <f>H58</f>
        <v>1.6</v>
      </c>
      <c r="M20" s="178">
        <f t="shared" si="2"/>
        <v>0</v>
      </c>
      <c r="N20" s="178">
        <f t="shared" si="3"/>
        <v>3.2</v>
      </c>
      <c r="O20" s="178">
        <f t="shared" si="4"/>
        <v>2.6</v>
      </c>
      <c r="P20" s="178">
        <f t="shared" si="5"/>
        <v>0</v>
      </c>
      <c r="Q20" s="178">
        <f t="shared" si="6"/>
        <v>8.32</v>
      </c>
      <c r="R20" s="178">
        <f t="shared" si="7"/>
        <v>0</v>
      </c>
      <c r="S20" s="178">
        <f t="shared" si="8"/>
        <v>0</v>
      </c>
      <c r="T20" s="178">
        <f t="shared" si="9"/>
        <v>7.120000000000001</v>
      </c>
      <c r="U20" s="147">
        <f>SUM(G56:G58)</f>
        <v>2</v>
      </c>
      <c r="V20" s="117" t="s">
        <v>350</v>
      </c>
      <c r="W20" s="147">
        <f>SUM(F56:F58)</f>
        <v>3</v>
      </c>
      <c r="X20" s="180">
        <f t="shared" si="10"/>
        <v>0.44444444444444442</v>
      </c>
      <c r="Y20" s="178">
        <f>X56</f>
        <v>2.5</v>
      </c>
      <c r="Z20" s="178">
        <f>X57</f>
        <v>2.2000000000000002</v>
      </c>
      <c r="AA20" s="178">
        <f>X58</f>
        <v>1.6</v>
      </c>
      <c r="AB20" s="178">
        <f t="shared" si="11"/>
        <v>3.5</v>
      </c>
      <c r="AC20" s="184">
        <f t="shared" si="12"/>
        <v>3.2</v>
      </c>
      <c r="AD20" s="178">
        <f t="shared" si="13"/>
        <v>2.6</v>
      </c>
      <c r="AE20" s="178">
        <f t="shared" si="14"/>
        <v>11.200000000000001</v>
      </c>
      <c r="AF20" s="178">
        <f t="shared" si="15"/>
        <v>8.32</v>
      </c>
      <c r="AG20" s="178">
        <f t="shared" si="16"/>
        <v>9.1</v>
      </c>
      <c r="AH20" s="178">
        <f t="shared" si="17"/>
        <v>29.120000000000005</v>
      </c>
      <c r="AI20" s="178">
        <f t="shared" si="18"/>
        <v>60.040000000000006</v>
      </c>
      <c r="AJ20" s="187" t="str">
        <f t="shared" si="19"/>
        <v>Gerard Ventom</v>
      </c>
      <c r="AK20" s="1">
        <f t="shared" si="20"/>
        <v>7</v>
      </c>
    </row>
    <row r="21" spans="2:37">
      <c r="B21" s="179"/>
      <c r="C21" s="179" t="str">
        <f>Picks!B21</f>
        <v>Crewe</v>
      </c>
      <c r="D21" s="180">
        <f>Picks!C21</f>
        <v>7</v>
      </c>
      <c r="E21" s="180">
        <f>Picks!D21</f>
        <v>2.5</v>
      </c>
      <c r="F21" s="179">
        <f>IF(C21="","",INDEX(Odds!K:K,MATCH(C21,Odds!G:G,0)))</f>
        <v>1</v>
      </c>
      <c r="G21" s="179">
        <f>IF(C21="","",Picks!M21)</f>
        <v>0</v>
      </c>
      <c r="H21" s="180">
        <f t="shared" si="0"/>
        <v>0</v>
      </c>
      <c r="I21" s="186" t="str">
        <f t="shared" si="1"/>
        <v>Graham Miller</v>
      </c>
      <c r="J21" s="178">
        <f>H59</f>
        <v>0</v>
      </c>
      <c r="K21" s="178">
        <f>H60</f>
        <v>0</v>
      </c>
      <c r="L21" s="178">
        <f>H61</f>
        <v>0</v>
      </c>
      <c r="M21" s="178">
        <f t="shared" si="2"/>
        <v>0</v>
      </c>
      <c r="N21" s="178">
        <f t="shared" si="3"/>
        <v>0</v>
      </c>
      <c r="O21" s="178">
        <f t="shared" si="4"/>
        <v>0</v>
      </c>
      <c r="P21" s="178">
        <f t="shared" si="5"/>
        <v>0</v>
      </c>
      <c r="Q21" s="178">
        <f t="shared" si="6"/>
        <v>0</v>
      </c>
      <c r="R21" s="178">
        <f t="shared" si="7"/>
        <v>0</v>
      </c>
      <c r="S21" s="178">
        <f t="shared" si="8"/>
        <v>0</v>
      </c>
      <c r="T21" s="178">
        <f t="shared" si="9"/>
        <v>-7</v>
      </c>
      <c r="U21" s="147">
        <f>SUM(G59:G61)</f>
        <v>0</v>
      </c>
      <c r="V21" s="117" t="s">
        <v>273</v>
      </c>
      <c r="W21" s="147">
        <f>SUM(F59:F61)</f>
        <v>3</v>
      </c>
      <c r="X21" s="180">
        <f t="shared" si="10"/>
        <v>1.5</v>
      </c>
      <c r="Y21" s="178">
        <f>X59</f>
        <v>2.9</v>
      </c>
      <c r="Z21" s="178">
        <f>X60</f>
        <v>5.5</v>
      </c>
      <c r="AA21" s="178">
        <f>X61</f>
        <v>3.5999999999999996</v>
      </c>
      <c r="AB21" s="178">
        <f t="shared" si="11"/>
        <v>3.9</v>
      </c>
      <c r="AC21" s="184">
        <f t="shared" si="12"/>
        <v>6.5</v>
      </c>
      <c r="AD21" s="178">
        <f t="shared" si="13"/>
        <v>4.5999999999999996</v>
      </c>
      <c r="AE21" s="178">
        <f t="shared" si="14"/>
        <v>25.349999999999998</v>
      </c>
      <c r="AF21" s="178">
        <f t="shared" si="15"/>
        <v>29.9</v>
      </c>
      <c r="AG21" s="178">
        <f t="shared" si="16"/>
        <v>17.939999999999998</v>
      </c>
      <c r="AH21" s="178">
        <f t="shared" si="17"/>
        <v>116.60999999999997</v>
      </c>
      <c r="AI21" s="178">
        <f t="shared" si="18"/>
        <v>197.79999999999995</v>
      </c>
      <c r="AJ21" s="187" t="str">
        <f t="shared" si="19"/>
        <v>Graham Miller</v>
      </c>
      <c r="AK21" s="1">
        <f t="shared" si="20"/>
        <v>7</v>
      </c>
    </row>
    <row r="22" spans="2:37" ht="13.15" thickBot="1">
      <c r="B22" s="181"/>
      <c r="C22" s="181" t="str">
        <f>Picks!B22</f>
        <v>Swindon</v>
      </c>
      <c r="D22" s="182">
        <f>Picks!C22</f>
        <v>7</v>
      </c>
      <c r="E22" s="182">
        <f>Picks!D22</f>
        <v>1.6666666666666665</v>
      </c>
      <c r="F22" s="181">
        <f>IF(C22="","",INDEX(Odds!K:K,MATCH(C22,Odds!G:G,0)))</f>
        <v>1</v>
      </c>
      <c r="G22" s="181">
        <f>IF(C22="","",Picks!M22)</f>
        <v>1</v>
      </c>
      <c r="H22" s="182">
        <f t="shared" si="0"/>
        <v>0.66666666666666652</v>
      </c>
      <c r="I22" s="186" t="str">
        <f t="shared" si="1"/>
        <v>Howard Bradley</v>
      </c>
      <c r="J22" s="178">
        <f>H62</f>
        <v>0</v>
      </c>
      <c r="K22" s="178">
        <f>H63</f>
        <v>0</v>
      </c>
      <c r="L22" s="178">
        <f>H64</f>
        <v>0</v>
      </c>
      <c r="M22" s="178">
        <f t="shared" si="2"/>
        <v>0</v>
      </c>
      <c r="N22" s="178">
        <f t="shared" si="3"/>
        <v>0</v>
      </c>
      <c r="O22" s="178">
        <f t="shared" si="4"/>
        <v>0</v>
      </c>
      <c r="P22" s="178">
        <f t="shared" si="5"/>
        <v>0</v>
      </c>
      <c r="Q22" s="178">
        <f t="shared" si="6"/>
        <v>0</v>
      </c>
      <c r="R22" s="178">
        <f t="shared" si="7"/>
        <v>0</v>
      </c>
      <c r="S22" s="178">
        <f t="shared" si="8"/>
        <v>0</v>
      </c>
      <c r="T22" s="178">
        <f t="shared" si="9"/>
        <v>-7</v>
      </c>
      <c r="U22" s="147">
        <f>SUM(G62:G64)</f>
        <v>0</v>
      </c>
      <c r="V22" s="117" t="s">
        <v>287</v>
      </c>
      <c r="W22" s="147">
        <f>SUM(F62:F64)</f>
        <v>3</v>
      </c>
      <c r="X22" s="180">
        <f t="shared" si="10"/>
        <v>0.66666666666666652</v>
      </c>
      <c r="Y22" s="178">
        <f>X62</f>
        <v>0.8</v>
      </c>
      <c r="Z22" s="178">
        <f>X63</f>
        <v>0.85000000000000009</v>
      </c>
      <c r="AA22" s="178">
        <f>X64</f>
        <v>1.625</v>
      </c>
      <c r="AB22" s="178">
        <f t="shared" si="11"/>
        <v>1.8</v>
      </c>
      <c r="AC22" s="184">
        <f t="shared" si="12"/>
        <v>1.85</v>
      </c>
      <c r="AD22" s="178">
        <f t="shared" si="13"/>
        <v>2.625</v>
      </c>
      <c r="AE22" s="178">
        <f t="shared" si="14"/>
        <v>3.33</v>
      </c>
      <c r="AF22" s="178">
        <f t="shared" si="15"/>
        <v>4.8562500000000002</v>
      </c>
      <c r="AG22" s="178">
        <f t="shared" si="16"/>
        <v>4.7249999999999996</v>
      </c>
      <c r="AH22" s="178">
        <f t="shared" si="17"/>
        <v>8.7412500000000009</v>
      </c>
      <c r="AI22" s="178">
        <f t="shared" si="18"/>
        <v>20.927500000000002</v>
      </c>
      <c r="AJ22" s="187" t="str">
        <f t="shared" si="19"/>
        <v>Howard Bradley</v>
      </c>
      <c r="AK22" s="1">
        <f t="shared" si="20"/>
        <v>7</v>
      </c>
    </row>
    <row r="23" spans="2:37">
      <c r="B23" s="180" t="str">
        <f>$V9</f>
        <v>Ben Rosser</v>
      </c>
      <c r="C23" s="179" t="str">
        <f>Picks!B23</f>
        <v>Everton draw</v>
      </c>
      <c r="D23" s="180">
        <f>Picks!C23</f>
        <v>7</v>
      </c>
      <c r="E23" s="180">
        <f>Picks!D23</f>
        <v>3.2</v>
      </c>
      <c r="F23" s="179">
        <f>IF(C23="","",INDEX(Odds!K:K,MATCH(C23,Odds!G:G,0)))</f>
        <v>1</v>
      </c>
      <c r="G23" s="179">
        <f>IF(C23="","",Picks!M23)</f>
        <v>1</v>
      </c>
      <c r="H23" s="180">
        <f t="shared" si="0"/>
        <v>2.2000000000000002</v>
      </c>
      <c r="I23" s="186" t="str">
        <f t="shared" si="1"/>
        <v>Jack Walsh</v>
      </c>
      <c r="J23" s="178">
        <f>H65</f>
        <v>0</v>
      </c>
      <c r="K23" s="178">
        <f>H66</f>
        <v>0</v>
      </c>
      <c r="L23" s="178">
        <f>H67</f>
        <v>0.30000000000000004</v>
      </c>
      <c r="M23" s="178">
        <f t="shared" si="2"/>
        <v>0</v>
      </c>
      <c r="N23" s="178">
        <f t="shared" si="3"/>
        <v>0</v>
      </c>
      <c r="O23" s="178">
        <f t="shared" si="4"/>
        <v>1.3</v>
      </c>
      <c r="P23" s="178">
        <f t="shared" si="5"/>
        <v>0</v>
      </c>
      <c r="Q23" s="178">
        <f t="shared" si="6"/>
        <v>0</v>
      </c>
      <c r="R23" s="178">
        <f t="shared" si="7"/>
        <v>0</v>
      </c>
      <c r="S23" s="178">
        <f t="shared" si="8"/>
        <v>0</v>
      </c>
      <c r="T23" s="178">
        <f t="shared" si="9"/>
        <v>-5.7</v>
      </c>
      <c r="U23" s="147">
        <f>SUM(G65:G67)</f>
        <v>1</v>
      </c>
      <c r="V23" s="120" t="s">
        <v>296</v>
      </c>
      <c r="W23" s="147">
        <f>SUM(F65:F67)</f>
        <v>3</v>
      </c>
      <c r="X23" s="180">
        <f t="shared" si="10"/>
        <v>2.2000000000000002</v>
      </c>
      <c r="Y23" s="178">
        <f>X65</f>
        <v>0.61538461538461542</v>
      </c>
      <c r="Z23" s="178">
        <f>X66</f>
        <v>1.4500000000000002</v>
      </c>
      <c r="AA23" s="178">
        <f>X67</f>
        <v>0.30000000000000004</v>
      </c>
      <c r="AB23" s="178">
        <f t="shared" si="11"/>
        <v>1.6153846153846154</v>
      </c>
      <c r="AC23" s="184">
        <f t="shared" si="12"/>
        <v>2.4500000000000002</v>
      </c>
      <c r="AD23" s="178">
        <f t="shared" si="13"/>
        <v>1.3</v>
      </c>
      <c r="AE23" s="178">
        <f t="shared" si="14"/>
        <v>3.9576923076923078</v>
      </c>
      <c r="AF23" s="178">
        <f t="shared" si="15"/>
        <v>3.1850000000000005</v>
      </c>
      <c r="AG23" s="178">
        <f t="shared" si="16"/>
        <v>2.1</v>
      </c>
      <c r="AH23" s="178">
        <f t="shared" si="17"/>
        <v>5.1450000000000005</v>
      </c>
      <c r="AI23" s="178">
        <f t="shared" si="18"/>
        <v>12.753076923076925</v>
      </c>
      <c r="AJ23" s="187" t="str">
        <f t="shared" si="19"/>
        <v>Jack Walsh</v>
      </c>
      <c r="AK23" s="1">
        <f t="shared" si="20"/>
        <v>7</v>
      </c>
    </row>
    <row r="24" spans="2:37">
      <c r="B24" s="179"/>
      <c r="C24" s="179" t="str">
        <f>Picks!B24</f>
        <v>Fulham</v>
      </c>
      <c r="D24" s="180">
        <f>Picks!C24</f>
        <v>7</v>
      </c>
      <c r="E24" s="180">
        <f>Picks!D24</f>
        <v>1.9090909090909092</v>
      </c>
      <c r="F24" s="179">
        <f>IF(C24="","",INDEX(Odds!K:K,MATCH(C24,Odds!G:G,0)))</f>
        <v>1</v>
      </c>
      <c r="G24" s="179">
        <f>IF(C24="","",Picks!M24)</f>
        <v>1</v>
      </c>
      <c r="H24" s="180">
        <f t="shared" si="0"/>
        <v>0.90909090909090917</v>
      </c>
      <c r="I24" s="186" t="str">
        <f t="shared" si="1"/>
        <v>Julie Dodd</v>
      </c>
      <c r="J24" s="178">
        <f>H68</f>
        <v>1.1499999999999999</v>
      </c>
      <c r="K24" s="178">
        <f>H69</f>
        <v>0</v>
      </c>
      <c r="L24" s="178">
        <f>H70</f>
        <v>0.30000000000000004</v>
      </c>
      <c r="M24" s="178">
        <f t="shared" si="2"/>
        <v>2.15</v>
      </c>
      <c r="N24" s="178">
        <f t="shared" si="3"/>
        <v>0</v>
      </c>
      <c r="O24" s="178">
        <f t="shared" si="4"/>
        <v>1.3</v>
      </c>
      <c r="P24" s="178">
        <f t="shared" si="5"/>
        <v>0</v>
      </c>
      <c r="Q24" s="178">
        <f t="shared" si="6"/>
        <v>0</v>
      </c>
      <c r="R24" s="178">
        <f t="shared" si="7"/>
        <v>2.7949999999999999</v>
      </c>
      <c r="S24" s="178">
        <f t="shared" si="8"/>
        <v>0</v>
      </c>
      <c r="T24" s="178">
        <f t="shared" si="9"/>
        <v>-0.75499999999999989</v>
      </c>
      <c r="U24" s="147">
        <f>SUM(G68:G70)</f>
        <v>2</v>
      </c>
      <c r="V24" s="120" t="s">
        <v>494</v>
      </c>
      <c r="W24" s="147">
        <f>SUM(F68:F70)</f>
        <v>3</v>
      </c>
      <c r="X24" s="180">
        <f t="shared" si="10"/>
        <v>0.90909090909090917</v>
      </c>
      <c r="Y24" s="178">
        <f>X68</f>
        <v>1.1499999999999999</v>
      </c>
      <c r="Z24" s="178">
        <f>X69</f>
        <v>0.5</v>
      </c>
      <c r="AA24" s="178">
        <f>X70</f>
        <v>0.30000000000000004</v>
      </c>
      <c r="AB24" s="178">
        <f t="shared" si="11"/>
        <v>2.15</v>
      </c>
      <c r="AC24" s="184">
        <f t="shared" si="12"/>
        <v>1.5</v>
      </c>
      <c r="AD24" s="178">
        <f t="shared" si="13"/>
        <v>1.3</v>
      </c>
      <c r="AE24" s="178">
        <f t="shared" si="14"/>
        <v>3.2249999999999996</v>
      </c>
      <c r="AF24" s="178">
        <f t="shared" si="15"/>
        <v>1.9500000000000002</v>
      </c>
      <c r="AG24" s="178">
        <f t="shared" si="16"/>
        <v>2.7949999999999999</v>
      </c>
      <c r="AH24" s="178">
        <f t="shared" si="17"/>
        <v>4.1924999999999999</v>
      </c>
      <c r="AI24" s="178">
        <f t="shared" si="18"/>
        <v>10.112500000000001</v>
      </c>
      <c r="AJ24" s="187" t="str">
        <f t="shared" si="19"/>
        <v>Julie Dodd</v>
      </c>
      <c r="AK24" s="1">
        <f t="shared" si="20"/>
        <v>7</v>
      </c>
    </row>
    <row r="25" spans="2:37" ht="13.15" thickBot="1">
      <c r="B25" s="181"/>
      <c r="C25" s="181" t="str">
        <f>Picks!B25</f>
        <v>Man U</v>
      </c>
      <c r="D25" s="182">
        <f>Picks!C25</f>
        <v>1</v>
      </c>
      <c r="E25" s="182">
        <f>Picks!D25</f>
        <v>4.5999999999999996</v>
      </c>
      <c r="F25" s="181">
        <f>IF(C25="","",INDEX(Odds!K:K,MATCH(C25,Odds!G:G,0)))</f>
        <v>1</v>
      </c>
      <c r="G25" s="181">
        <f>IF(C25="","",Picks!M25)</f>
        <v>0</v>
      </c>
      <c r="H25" s="182">
        <f t="shared" si="0"/>
        <v>0</v>
      </c>
      <c r="I25" s="186" t="str">
        <f t="shared" si="1"/>
        <v>Kevin Carter</v>
      </c>
      <c r="J25" s="178">
        <f>H71</f>
        <v>0</v>
      </c>
      <c r="K25" s="178">
        <f>H72</f>
        <v>0</v>
      </c>
      <c r="L25" s="178">
        <f>H73</f>
        <v>0</v>
      </c>
      <c r="M25" s="178">
        <f t="shared" si="2"/>
        <v>0</v>
      </c>
      <c r="N25" s="178">
        <f t="shared" si="3"/>
        <v>0</v>
      </c>
      <c r="O25" s="178">
        <f t="shared" si="4"/>
        <v>0</v>
      </c>
      <c r="P25" s="178">
        <f t="shared" si="5"/>
        <v>0</v>
      </c>
      <c r="Q25" s="178">
        <f t="shared" si="6"/>
        <v>0</v>
      </c>
      <c r="R25" s="178">
        <f t="shared" si="7"/>
        <v>0</v>
      </c>
      <c r="S25" s="178">
        <f t="shared" si="8"/>
        <v>0</v>
      </c>
      <c r="T25" s="178">
        <f t="shared" si="9"/>
        <v>-7</v>
      </c>
      <c r="U25" s="147">
        <f>SUM(G71:G73)</f>
        <v>0</v>
      </c>
      <c r="V25" s="117" t="s">
        <v>288</v>
      </c>
      <c r="W25" s="147">
        <f>SUM(F71:F73)</f>
        <v>3</v>
      </c>
      <c r="X25" s="180">
        <f t="shared" si="10"/>
        <v>3.5999999999999996</v>
      </c>
      <c r="Y25" s="178">
        <f>X71</f>
        <v>0.8</v>
      </c>
      <c r="Z25" s="178">
        <f>X72</f>
        <v>0.90909090909090917</v>
      </c>
      <c r="AA25" s="178">
        <f>X73</f>
        <v>1.4500000000000002</v>
      </c>
      <c r="AB25" s="178">
        <f t="shared" si="11"/>
        <v>1.8</v>
      </c>
      <c r="AC25" s="184">
        <f t="shared" si="12"/>
        <v>1.9090909090909092</v>
      </c>
      <c r="AD25" s="178">
        <f t="shared" si="13"/>
        <v>2.4500000000000002</v>
      </c>
      <c r="AE25" s="178">
        <f t="shared" si="14"/>
        <v>3.4363636363636365</v>
      </c>
      <c r="AF25" s="178">
        <f t="shared" si="15"/>
        <v>4.6772727272727277</v>
      </c>
      <c r="AG25" s="178">
        <f t="shared" si="16"/>
        <v>4.41</v>
      </c>
      <c r="AH25" s="178">
        <f t="shared" si="17"/>
        <v>8.4190909090909098</v>
      </c>
      <c r="AI25" s="178">
        <f t="shared" si="18"/>
        <v>20.101818181818182</v>
      </c>
      <c r="AJ25" s="187" t="str">
        <f t="shared" si="19"/>
        <v>Kevin Carter</v>
      </c>
      <c r="AK25" s="1">
        <f t="shared" si="20"/>
        <v>7</v>
      </c>
    </row>
    <row r="26" spans="2:37">
      <c r="B26" s="180" t="str">
        <f>$V10</f>
        <v>Bob Bailey</v>
      </c>
      <c r="C26" s="179" t="str">
        <f>Picks!B26</f>
        <v>Fulham</v>
      </c>
      <c r="D26" s="180">
        <f>Picks!C26</f>
        <v>7</v>
      </c>
      <c r="E26" s="180">
        <f>Picks!D26</f>
        <v>1.9090909090909092</v>
      </c>
      <c r="F26" s="179">
        <f>IF(C26="","",INDEX(Odds!K:K,MATCH(C26,Odds!G:G,0)))</f>
        <v>1</v>
      </c>
      <c r="G26" s="179">
        <f>IF(C26="","",Picks!M26)</f>
        <v>1</v>
      </c>
      <c r="H26" s="180">
        <f t="shared" si="0"/>
        <v>0.90909090909090917</v>
      </c>
      <c r="I26" s="186" t="str">
        <f t="shared" si="1"/>
        <v>Lennie Bow</v>
      </c>
      <c r="J26" s="178">
        <f>H74</f>
        <v>0</v>
      </c>
      <c r="K26" s="178">
        <f>H75</f>
        <v>0</v>
      </c>
      <c r="L26" s="178">
        <f>H76</f>
        <v>0</v>
      </c>
      <c r="M26" s="178">
        <f t="shared" si="2"/>
        <v>0</v>
      </c>
      <c r="N26" s="178">
        <f t="shared" si="3"/>
        <v>0</v>
      </c>
      <c r="O26" s="178">
        <f t="shared" si="4"/>
        <v>0</v>
      </c>
      <c r="P26" s="178">
        <f t="shared" si="5"/>
        <v>0</v>
      </c>
      <c r="Q26" s="178">
        <f t="shared" si="6"/>
        <v>0</v>
      </c>
      <c r="R26" s="178">
        <f t="shared" si="7"/>
        <v>0</v>
      </c>
      <c r="S26" s="178">
        <f t="shared" si="8"/>
        <v>0</v>
      </c>
      <c r="T26" s="178">
        <f t="shared" si="9"/>
        <v>-7</v>
      </c>
      <c r="U26" s="147">
        <f>SUM(G74:G76)</f>
        <v>0</v>
      </c>
      <c r="V26" s="117" t="s">
        <v>278</v>
      </c>
      <c r="W26" s="147">
        <f>SUM(F74:F76)</f>
        <v>3</v>
      </c>
      <c r="X26" s="180">
        <f t="shared" si="10"/>
        <v>0.90909090909090917</v>
      </c>
      <c r="Y26" s="178">
        <f>X74</f>
        <v>0.72727272727272729</v>
      </c>
      <c r="Z26" s="178">
        <f>X75</f>
        <v>0.8</v>
      </c>
      <c r="AA26" s="178">
        <f>X76</f>
        <v>0.5</v>
      </c>
      <c r="AB26" s="178">
        <f t="shared" si="11"/>
        <v>1.7272727272727273</v>
      </c>
      <c r="AC26" s="184">
        <f t="shared" si="12"/>
        <v>1.8</v>
      </c>
      <c r="AD26" s="178">
        <f t="shared" si="13"/>
        <v>1.5</v>
      </c>
      <c r="AE26" s="178">
        <f t="shared" si="14"/>
        <v>3.1090909090909093</v>
      </c>
      <c r="AF26" s="178">
        <f t="shared" si="15"/>
        <v>2.7</v>
      </c>
      <c r="AG26" s="178">
        <f t="shared" si="16"/>
        <v>2.5909090909090908</v>
      </c>
      <c r="AH26" s="178">
        <f t="shared" si="17"/>
        <v>4.663636363636364</v>
      </c>
      <c r="AI26" s="178">
        <f t="shared" si="18"/>
        <v>11.09090909090909</v>
      </c>
      <c r="AJ26" s="187" t="str">
        <f t="shared" si="19"/>
        <v>Lennie Bow</v>
      </c>
      <c r="AK26" s="1">
        <f t="shared" si="20"/>
        <v>7</v>
      </c>
    </row>
    <row r="27" spans="2:37">
      <c r="B27" s="179"/>
      <c r="C27" s="179" t="str">
        <f>Picks!B27</f>
        <v>Palace</v>
      </c>
      <c r="D27" s="180">
        <f>Picks!C27</f>
        <v>7</v>
      </c>
      <c r="E27" s="180">
        <f>Picks!D27</f>
        <v>1.6153846153846154</v>
      </c>
      <c r="F27" s="179">
        <f>IF(C27="","",INDEX(Odds!K:K,MATCH(C27,Odds!G:G,0)))</f>
        <v>1</v>
      </c>
      <c r="G27" s="179">
        <f>IF(C27="","",Picks!M27)</f>
        <v>0</v>
      </c>
      <c r="H27" s="180">
        <f t="shared" si="0"/>
        <v>0</v>
      </c>
      <c r="I27" s="186" t="str">
        <f t="shared" si="1"/>
        <v>Mark Bunn</v>
      </c>
      <c r="J27" s="178">
        <f>H77</f>
        <v>1.1000000000000001</v>
      </c>
      <c r="K27" s="178">
        <f>H78</f>
        <v>1.4</v>
      </c>
      <c r="L27" s="178">
        <f>H79</f>
        <v>0</v>
      </c>
      <c r="M27" s="178">
        <f t="shared" si="2"/>
        <v>2.1</v>
      </c>
      <c r="N27" s="178">
        <f t="shared" si="3"/>
        <v>2.4</v>
      </c>
      <c r="O27" s="178">
        <f t="shared" si="4"/>
        <v>0</v>
      </c>
      <c r="P27" s="178">
        <f t="shared" si="5"/>
        <v>5.04</v>
      </c>
      <c r="Q27" s="178">
        <f t="shared" si="6"/>
        <v>0</v>
      </c>
      <c r="R27" s="178">
        <f t="shared" si="7"/>
        <v>0</v>
      </c>
      <c r="S27" s="178">
        <f t="shared" si="8"/>
        <v>0</v>
      </c>
      <c r="T27" s="178">
        <f t="shared" si="9"/>
        <v>2.5399999999999991</v>
      </c>
      <c r="U27" s="147">
        <f>SUM(G77:G79)</f>
        <v>2</v>
      </c>
      <c r="V27" s="120" t="s">
        <v>279</v>
      </c>
      <c r="W27" s="147">
        <f>SUM(F77:F79)</f>
        <v>3</v>
      </c>
      <c r="X27" s="180">
        <f t="shared" si="10"/>
        <v>0.61538461538461542</v>
      </c>
      <c r="Y27" s="178">
        <f>X77</f>
        <v>1.1000000000000001</v>
      </c>
      <c r="Z27" s="178">
        <f>X78</f>
        <v>1.4</v>
      </c>
      <c r="AA27" s="178">
        <f>X79</f>
        <v>1.75</v>
      </c>
      <c r="AB27" s="178">
        <f t="shared" si="11"/>
        <v>2.1</v>
      </c>
      <c r="AC27" s="184">
        <f t="shared" si="12"/>
        <v>2.4</v>
      </c>
      <c r="AD27" s="178">
        <f t="shared" si="13"/>
        <v>2.75</v>
      </c>
      <c r="AE27" s="178">
        <f t="shared" si="14"/>
        <v>5.04</v>
      </c>
      <c r="AF27" s="178">
        <f t="shared" si="15"/>
        <v>6.6</v>
      </c>
      <c r="AG27" s="178">
        <f t="shared" si="16"/>
        <v>5.7750000000000004</v>
      </c>
      <c r="AH27" s="178">
        <f t="shared" si="17"/>
        <v>13.86</v>
      </c>
      <c r="AI27" s="178">
        <f t="shared" si="18"/>
        <v>31.524999999999999</v>
      </c>
      <c r="AJ27" s="187" t="str">
        <f t="shared" ref="AJ27:AJ32" si="21">$V27</f>
        <v>Mark Bunn</v>
      </c>
      <c r="AK27" s="1">
        <f t="shared" ref="AK27:AK32" si="22">IF(W27=3,7,IF(W27=2,3,1))</f>
        <v>7</v>
      </c>
    </row>
    <row r="28" spans="2:37" ht="13.15" thickBot="1">
      <c r="B28" s="181"/>
      <c r="C28" s="181" t="str">
        <f>Picks!B28</f>
        <v>Bristol C</v>
      </c>
      <c r="D28" s="182">
        <f>Picks!C28</f>
        <v>7</v>
      </c>
      <c r="E28" s="182">
        <f>Picks!D28</f>
        <v>2.1</v>
      </c>
      <c r="F28" s="181">
        <f>IF(C28="","",INDEX(Odds!K:K,MATCH(C28,Odds!G:G,0)))</f>
        <v>1</v>
      </c>
      <c r="G28" s="181">
        <f>IF(C28="","",Picks!M28)</f>
        <v>1</v>
      </c>
      <c r="H28" s="182">
        <f t="shared" si="0"/>
        <v>1.1000000000000001</v>
      </c>
      <c r="I28" s="186" t="str">
        <f t="shared" si="1"/>
        <v>Mark Saunders</v>
      </c>
      <c r="J28" s="178">
        <f>H80</f>
        <v>0</v>
      </c>
      <c r="K28" s="178">
        <f>H81</f>
        <v>0</v>
      </c>
      <c r="L28" s="178">
        <f>H82</f>
        <v>0</v>
      </c>
      <c r="M28" s="178">
        <f t="shared" si="2"/>
        <v>0</v>
      </c>
      <c r="N28" s="178">
        <f t="shared" si="3"/>
        <v>0</v>
      </c>
      <c r="O28" s="178">
        <f t="shared" si="4"/>
        <v>0</v>
      </c>
      <c r="P28" s="178">
        <f t="shared" si="5"/>
        <v>0</v>
      </c>
      <c r="Q28" s="178">
        <f t="shared" si="6"/>
        <v>0</v>
      </c>
      <c r="R28" s="178">
        <f t="shared" si="7"/>
        <v>0</v>
      </c>
      <c r="S28" s="178">
        <f t="shared" si="8"/>
        <v>0</v>
      </c>
      <c r="T28" s="178">
        <f t="shared" si="9"/>
        <v>-7</v>
      </c>
      <c r="U28" s="147">
        <f>SUM(G80:G82)</f>
        <v>0</v>
      </c>
      <c r="V28" s="117" t="s">
        <v>275</v>
      </c>
      <c r="W28" s="147">
        <f>SUM(F80:F82)</f>
        <v>3</v>
      </c>
      <c r="X28" s="180">
        <f t="shared" si="10"/>
        <v>1.1000000000000001</v>
      </c>
      <c r="Y28" s="178">
        <f>X80</f>
        <v>2.6</v>
      </c>
      <c r="Z28" s="178">
        <f>X81</f>
        <v>2.4</v>
      </c>
      <c r="AA28" s="178">
        <f>X82</f>
        <v>0.90909090909090917</v>
      </c>
      <c r="AB28" s="178">
        <f t="shared" si="11"/>
        <v>3.6</v>
      </c>
      <c r="AC28" s="184">
        <f t="shared" si="12"/>
        <v>3.4</v>
      </c>
      <c r="AD28" s="178">
        <f t="shared" si="13"/>
        <v>1.9090909090909092</v>
      </c>
      <c r="AE28" s="178">
        <f t="shared" si="14"/>
        <v>12.24</v>
      </c>
      <c r="AF28" s="178">
        <f t="shared" si="15"/>
        <v>6.4909090909090912</v>
      </c>
      <c r="AG28" s="178">
        <f t="shared" si="16"/>
        <v>6.872727272727273</v>
      </c>
      <c r="AH28" s="178">
        <f t="shared" si="17"/>
        <v>23.367272727272727</v>
      </c>
      <c r="AI28" s="178">
        <f t="shared" si="18"/>
        <v>50.88</v>
      </c>
      <c r="AJ28" s="187" t="str">
        <f t="shared" si="21"/>
        <v>Mark Saunders</v>
      </c>
      <c r="AK28" s="1">
        <f t="shared" si="22"/>
        <v>7</v>
      </c>
    </row>
    <row r="29" spans="2:37">
      <c r="B29" s="180" t="str">
        <f>$V11</f>
        <v>Charlie Griffiths</v>
      </c>
      <c r="C29" s="179" t="str">
        <f>Picks!B29</f>
        <v>Salford</v>
      </c>
      <c r="D29" s="180">
        <f>Picks!C29</f>
        <v>7</v>
      </c>
      <c r="E29" s="180">
        <f>Picks!D29</f>
        <v>2.5</v>
      </c>
      <c r="F29" s="179">
        <f>IF(C29="","",INDEX(Odds!K:K,MATCH(C29,Odds!G:G,0)))</f>
        <v>1</v>
      </c>
      <c r="G29" s="179">
        <f>IF(C29="","",Picks!M29)</f>
        <v>1</v>
      </c>
      <c r="H29" s="180">
        <f t="shared" si="0"/>
        <v>1.5</v>
      </c>
      <c r="I29" s="186" t="str">
        <f t="shared" si="1"/>
        <v>Martin Molyneux</v>
      </c>
      <c r="J29" s="178">
        <f>H83</f>
        <v>0</v>
      </c>
      <c r="K29" s="178">
        <f>H84</f>
        <v>0.90909090909090917</v>
      </c>
      <c r="L29" s="178">
        <f>H85</f>
        <v>1.1499999999999999</v>
      </c>
      <c r="M29" s="178">
        <f t="shared" si="2"/>
        <v>0</v>
      </c>
      <c r="N29" s="178">
        <f t="shared" si="3"/>
        <v>1.9090909090909092</v>
      </c>
      <c r="O29" s="178">
        <f t="shared" si="4"/>
        <v>2.15</v>
      </c>
      <c r="P29" s="178">
        <f t="shared" si="5"/>
        <v>0</v>
      </c>
      <c r="Q29" s="178">
        <f t="shared" si="6"/>
        <v>4.1045454545454545</v>
      </c>
      <c r="R29" s="178">
        <f t="shared" si="7"/>
        <v>0</v>
      </c>
      <c r="S29" s="178">
        <f t="shared" si="8"/>
        <v>0</v>
      </c>
      <c r="T29" s="178">
        <f t="shared" si="9"/>
        <v>1.163636363636364</v>
      </c>
      <c r="U29" s="147">
        <f>SUM(G83:G85)</f>
        <v>2</v>
      </c>
      <c r="V29" s="120" t="s">
        <v>274</v>
      </c>
      <c r="W29" s="147">
        <f>SUM(F83:F85)</f>
        <v>3</v>
      </c>
      <c r="X29" s="180">
        <f t="shared" si="10"/>
        <v>1.5</v>
      </c>
      <c r="Y29" s="178">
        <f>X83</f>
        <v>1.4500000000000002</v>
      </c>
      <c r="Z29" s="178">
        <f>X84</f>
        <v>0.90909090909090917</v>
      </c>
      <c r="AA29" s="178">
        <f>X85</f>
        <v>1.1499999999999999</v>
      </c>
      <c r="AB29" s="178">
        <f t="shared" si="11"/>
        <v>2.4500000000000002</v>
      </c>
      <c r="AC29" s="184">
        <f t="shared" si="12"/>
        <v>1.9090909090909092</v>
      </c>
      <c r="AD29" s="178">
        <f t="shared" si="13"/>
        <v>2.15</v>
      </c>
      <c r="AE29" s="178">
        <f t="shared" si="14"/>
        <v>4.6772727272727277</v>
      </c>
      <c r="AF29" s="178">
        <f t="shared" si="15"/>
        <v>4.1045454545454545</v>
      </c>
      <c r="AG29" s="178">
        <f t="shared" si="16"/>
        <v>5.2675000000000001</v>
      </c>
      <c r="AH29" s="178">
        <f t="shared" si="17"/>
        <v>10.056136363636364</v>
      </c>
      <c r="AI29" s="178">
        <f t="shared" si="18"/>
        <v>23.614545454545457</v>
      </c>
      <c r="AJ29" s="187" t="str">
        <f t="shared" si="21"/>
        <v>Martin Molyneux</v>
      </c>
      <c r="AK29" s="1">
        <f t="shared" si="22"/>
        <v>7</v>
      </c>
    </row>
    <row r="30" spans="2:37">
      <c r="B30" s="179"/>
      <c r="C30" s="179" t="str">
        <f>Picks!B30</f>
        <v>Walsall</v>
      </c>
      <c r="D30" s="180">
        <f>Picks!C30</f>
        <v>7</v>
      </c>
      <c r="E30" s="180">
        <f>Picks!D30</f>
        <v>2.5</v>
      </c>
      <c r="F30" s="179">
        <f>IF(C30="","",INDEX(Odds!K:K,MATCH(C30,Odds!G:G,0)))</f>
        <v>1</v>
      </c>
      <c r="G30" s="179">
        <f>IF(C30="","",Picks!M30)</f>
        <v>0</v>
      </c>
      <c r="H30" s="180">
        <f t="shared" si="0"/>
        <v>0</v>
      </c>
      <c r="I30" s="186" t="str">
        <f t="shared" si="1"/>
        <v>Martin Tarbuck</v>
      </c>
      <c r="J30" s="178">
        <f>H86</f>
        <v>0.39999999999999991</v>
      </c>
      <c r="K30" s="178">
        <f>H87</f>
        <v>1.1000000000000001</v>
      </c>
      <c r="L30" s="178">
        <f>H88</f>
        <v>0.30000000000000004</v>
      </c>
      <c r="M30" s="178">
        <f t="shared" si="2"/>
        <v>1.4</v>
      </c>
      <c r="N30" s="178">
        <f t="shared" si="3"/>
        <v>2.1</v>
      </c>
      <c r="O30" s="178">
        <f t="shared" si="4"/>
        <v>1.3</v>
      </c>
      <c r="P30" s="178">
        <f t="shared" si="5"/>
        <v>2.94</v>
      </c>
      <c r="Q30" s="178">
        <f t="shared" si="6"/>
        <v>2.7300000000000004</v>
      </c>
      <c r="R30" s="178">
        <f t="shared" si="7"/>
        <v>1.8199999999999998</v>
      </c>
      <c r="S30" s="178">
        <f t="shared" si="8"/>
        <v>3.8220000000000001</v>
      </c>
      <c r="T30" s="178">
        <f t="shared" si="9"/>
        <v>9.1120000000000019</v>
      </c>
      <c r="U30" s="147">
        <f>SUM(G86:G88)</f>
        <v>3</v>
      </c>
      <c r="V30" s="117" t="s">
        <v>352</v>
      </c>
      <c r="W30" s="147">
        <f>SUM(F86:F88)</f>
        <v>3</v>
      </c>
      <c r="X30" s="180">
        <f t="shared" si="10"/>
        <v>1.5</v>
      </c>
      <c r="Y30" s="178">
        <f>X86</f>
        <v>0.39999999999999991</v>
      </c>
      <c r="Z30" s="178">
        <f>X87</f>
        <v>1.1000000000000001</v>
      </c>
      <c r="AA30" s="178">
        <f>X88</f>
        <v>0.30000000000000004</v>
      </c>
      <c r="AB30" s="178">
        <f t="shared" si="11"/>
        <v>1.4</v>
      </c>
      <c r="AC30" s="184">
        <f t="shared" si="12"/>
        <v>2.1</v>
      </c>
      <c r="AD30" s="178">
        <f t="shared" si="13"/>
        <v>1.3</v>
      </c>
      <c r="AE30" s="178">
        <f t="shared" si="14"/>
        <v>2.94</v>
      </c>
      <c r="AF30" s="178">
        <f t="shared" si="15"/>
        <v>2.7300000000000004</v>
      </c>
      <c r="AG30" s="178">
        <f t="shared" si="16"/>
        <v>1.8199999999999998</v>
      </c>
      <c r="AH30" s="178">
        <f t="shared" si="17"/>
        <v>3.8220000000000001</v>
      </c>
      <c r="AI30" s="178">
        <f t="shared" si="18"/>
        <v>9.1120000000000019</v>
      </c>
      <c r="AJ30" s="187" t="str">
        <f t="shared" si="21"/>
        <v>Martin Tarbuck</v>
      </c>
      <c r="AK30" s="1">
        <f t="shared" si="22"/>
        <v>7</v>
      </c>
    </row>
    <row r="31" spans="2:37" ht="13.15" thickBot="1">
      <c r="B31" s="181"/>
      <c r="C31" s="181" t="str">
        <f>Picks!B31</f>
        <v>Orient draw</v>
      </c>
      <c r="D31" s="182">
        <f>Picks!C31</f>
        <v>7</v>
      </c>
      <c r="E31" s="182">
        <f>Picks!D31</f>
        <v>3.3</v>
      </c>
      <c r="F31" s="181">
        <f>IF(C31="","",INDEX(Odds!K:K,MATCH(C31,Odds!G:G,0)))</f>
        <v>1</v>
      </c>
      <c r="G31" s="181">
        <f>IF(C31="","",Picks!M31)</f>
        <v>1</v>
      </c>
      <c r="H31" s="182">
        <f t="shared" si="0"/>
        <v>2.2999999999999998</v>
      </c>
      <c r="I31" s="186" t="str">
        <f t="shared" si="1"/>
        <v>Mike Penk</v>
      </c>
      <c r="J31" s="178">
        <f>H89</f>
        <v>0</v>
      </c>
      <c r="K31" s="178">
        <f>H90</f>
        <v>0</v>
      </c>
      <c r="L31" s="178">
        <f>H91</f>
        <v>0.85000000000000009</v>
      </c>
      <c r="M31" s="178">
        <f t="shared" si="2"/>
        <v>0</v>
      </c>
      <c r="N31" s="178">
        <f t="shared" si="3"/>
        <v>0</v>
      </c>
      <c r="O31" s="178">
        <f t="shared" si="4"/>
        <v>1.85</v>
      </c>
      <c r="P31" s="178">
        <f t="shared" si="5"/>
        <v>0</v>
      </c>
      <c r="Q31" s="178">
        <f t="shared" si="6"/>
        <v>0</v>
      </c>
      <c r="R31" s="178">
        <f t="shared" si="7"/>
        <v>0</v>
      </c>
      <c r="S31" s="178">
        <f t="shared" si="8"/>
        <v>0</v>
      </c>
      <c r="T31" s="178">
        <f t="shared" si="9"/>
        <v>-5.15</v>
      </c>
      <c r="U31" s="147">
        <f>SUM(G89:G91)</f>
        <v>1</v>
      </c>
      <c r="V31" s="120" t="s">
        <v>282</v>
      </c>
      <c r="W31" s="147">
        <f>SUM(F89:F91)</f>
        <v>3</v>
      </c>
      <c r="X31" s="180">
        <f t="shared" si="10"/>
        <v>2.2999999999999998</v>
      </c>
      <c r="Y31" s="178">
        <f>X89</f>
        <v>1.5</v>
      </c>
      <c r="Z31" s="178">
        <f>X90</f>
        <v>0.85000000000000009</v>
      </c>
      <c r="AA31" s="178">
        <f>X91</f>
        <v>0.85000000000000009</v>
      </c>
      <c r="AB31" s="178">
        <f t="shared" si="11"/>
        <v>2.5</v>
      </c>
      <c r="AC31" s="184">
        <f t="shared" si="12"/>
        <v>1.85</v>
      </c>
      <c r="AD31" s="178">
        <f t="shared" si="13"/>
        <v>1.85</v>
      </c>
      <c r="AE31" s="178">
        <f t="shared" si="14"/>
        <v>4.625</v>
      </c>
      <c r="AF31" s="178">
        <f t="shared" si="15"/>
        <v>3.4225000000000003</v>
      </c>
      <c r="AG31" s="178">
        <f t="shared" si="16"/>
        <v>4.625</v>
      </c>
      <c r="AH31" s="178">
        <f t="shared" si="17"/>
        <v>8.5562500000000004</v>
      </c>
      <c r="AI31" s="178">
        <f t="shared" si="18"/>
        <v>20.428750000000001</v>
      </c>
      <c r="AJ31" s="187" t="str">
        <f t="shared" si="21"/>
        <v>Mike Penk</v>
      </c>
      <c r="AK31" s="1">
        <f t="shared" si="22"/>
        <v>7</v>
      </c>
    </row>
    <row r="32" spans="2:37">
      <c r="B32" s="179" t="str">
        <f>$V12</f>
        <v>Chris Bow</v>
      </c>
      <c r="C32" s="179" t="str">
        <f>Picks!B32</f>
        <v>Bournemouth</v>
      </c>
      <c r="D32" s="180">
        <f>Picks!C32</f>
        <v>7</v>
      </c>
      <c r="E32" s="180">
        <f>Picks!D32</f>
        <v>2.4</v>
      </c>
      <c r="F32" s="179">
        <f>IF(C32="","",INDEX(Odds!K:K,MATCH(C32,Odds!G:G,0)))</f>
        <v>1</v>
      </c>
      <c r="G32" s="179">
        <f>IF(C32="","",Picks!M32)</f>
        <v>1</v>
      </c>
      <c r="H32" s="180">
        <f t="shared" si="0"/>
        <v>1.4</v>
      </c>
      <c r="I32" s="186" t="str">
        <f t="shared" si="1"/>
        <v>Nick Blocksidge</v>
      </c>
      <c r="J32" s="178">
        <f>H92</f>
        <v>0</v>
      </c>
      <c r="K32" s="178">
        <f>H93</f>
        <v>0</v>
      </c>
      <c r="L32" s="178">
        <f>H94</f>
        <v>0.44444444444444442</v>
      </c>
      <c r="M32" s="178">
        <f t="shared" si="2"/>
        <v>0</v>
      </c>
      <c r="N32" s="178">
        <f t="shared" si="3"/>
        <v>0</v>
      </c>
      <c r="O32" s="178">
        <f t="shared" si="4"/>
        <v>1.4444444444444444</v>
      </c>
      <c r="P32" s="178">
        <f t="shared" si="5"/>
        <v>0</v>
      </c>
      <c r="Q32" s="178">
        <f t="shared" si="6"/>
        <v>0</v>
      </c>
      <c r="R32" s="178">
        <f t="shared" si="7"/>
        <v>0</v>
      </c>
      <c r="S32" s="178">
        <f t="shared" si="8"/>
        <v>0</v>
      </c>
      <c r="T32" s="178">
        <f t="shared" si="9"/>
        <v>-5.5555555555555554</v>
      </c>
      <c r="U32" s="147">
        <f>SUM(G92:G94)</f>
        <v>1</v>
      </c>
      <c r="V32" s="120" t="s">
        <v>351</v>
      </c>
      <c r="W32" s="147">
        <f>SUM(F92:F94)</f>
        <v>3</v>
      </c>
      <c r="X32" s="180">
        <f t="shared" si="10"/>
        <v>1.4</v>
      </c>
      <c r="Y32" s="178">
        <f>X92</f>
        <v>2.5</v>
      </c>
      <c r="Z32" s="178">
        <f>X93</f>
        <v>1.4500000000000002</v>
      </c>
      <c r="AA32" s="178">
        <f>X94</f>
        <v>0.44444444444444442</v>
      </c>
      <c r="AB32" s="178">
        <f t="shared" si="11"/>
        <v>3.5</v>
      </c>
      <c r="AC32" s="184">
        <f t="shared" si="12"/>
        <v>2.4500000000000002</v>
      </c>
      <c r="AD32" s="178">
        <f t="shared" si="13"/>
        <v>1.4444444444444444</v>
      </c>
      <c r="AE32" s="178">
        <f t="shared" si="14"/>
        <v>8.5750000000000011</v>
      </c>
      <c r="AF32" s="178">
        <f t="shared" si="15"/>
        <v>3.5388888888888892</v>
      </c>
      <c r="AG32" s="178">
        <f t="shared" si="16"/>
        <v>5.0555555555555554</v>
      </c>
      <c r="AH32" s="178">
        <f t="shared" si="17"/>
        <v>12.386111111111113</v>
      </c>
      <c r="AI32" s="178">
        <f t="shared" si="18"/>
        <v>29.950000000000003</v>
      </c>
      <c r="AJ32" s="187" t="str">
        <f t="shared" si="21"/>
        <v>Nick Blocksidge</v>
      </c>
      <c r="AK32" s="1">
        <f t="shared" si="22"/>
        <v>7</v>
      </c>
    </row>
    <row r="33" spans="2:37">
      <c r="B33" s="179"/>
      <c r="C33" s="179" t="str">
        <f>Picks!B33</f>
        <v>Fulham</v>
      </c>
      <c r="D33" s="180">
        <f>Picks!C33</f>
        <v>7</v>
      </c>
      <c r="E33" s="180">
        <f>Picks!D33</f>
        <v>1.9090909090909092</v>
      </c>
      <c r="F33" s="179">
        <f>IF(C33="","",INDEX(Odds!K:K,MATCH(C33,Odds!G:G,0)))</f>
        <v>1</v>
      </c>
      <c r="G33" s="179">
        <f>IF(C33="","",Picks!M33)</f>
        <v>1</v>
      </c>
      <c r="H33" s="180">
        <f t="shared" si="0"/>
        <v>0.90909090909090917</v>
      </c>
      <c r="I33" s="186" t="str">
        <f t="shared" ref="I33:I45" si="23">V33</f>
        <v>Nigel Heyes</v>
      </c>
      <c r="J33" s="178">
        <f>H95</f>
        <v>0</v>
      </c>
      <c r="K33" s="178">
        <f>H96</f>
        <v>0</v>
      </c>
      <c r="L33" s="178">
        <f>H97</f>
        <v>0</v>
      </c>
      <c r="M33" s="178">
        <f t="shared" ref="M33:M45" si="24">IF(J33=0,0,1)+J33</f>
        <v>0</v>
      </c>
      <c r="N33" s="178">
        <f t="shared" ref="N33:N45" si="25">IF(K33=0,0,1)+K33</f>
        <v>0</v>
      </c>
      <c r="O33" s="178">
        <f t="shared" ref="O33:O45" si="26">IF(L33=0,0,1)+L33</f>
        <v>0</v>
      </c>
      <c r="P33" s="178">
        <f t="shared" ref="P33:P45" si="27">IF(K33=0,0,(M33*K33)+M33)</f>
        <v>0</v>
      </c>
      <c r="Q33" s="178">
        <f t="shared" ref="Q33:Q45" si="28">IF(L33=0,0,(N33*L33)+N33)</f>
        <v>0</v>
      </c>
      <c r="R33" s="178">
        <f t="shared" ref="R33:R45" si="29">IF(J33=0,0,(O33*J33)+O33)</f>
        <v>0</v>
      </c>
      <c r="S33" s="178">
        <f t="shared" ref="S33:S45" si="30">IF(L33=0,0,(P33*L33)+P33)</f>
        <v>0</v>
      </c>
      <c r="T33" s="178">
        <f t="shared" ref="T33:T45" si="31">SUM(M33:S33)-(IF(W33=1,A$2*1,0))-(IF(W33=2,A$2*3,0))-(IF(W33=3,A$2*7,0))</f>
        <v>-7</v>
      </c>
      <c r="U33" s="147">
        <f>SUM(G95:G97)</f>
        <v>0</v>
      </c>
      <c r="V33" s="118" t="s">
        <v>294</v>
      </c>
      <c r="W33" s="147">
        <f>SUM(F95:F97)</f>
        <v>3</v>
      </c>
      <c r="X33" s="180">
        <f t="shared" si="10"/>
        <v>0.90909090909090917</v>
      </c>
      <c r="Y33" s="178">
        <f>X95</f>
        <v>1.4500000000000002</v>
      </c>
      <c r="Z33" s="178">
        <f>X96</f>
        <v>1.9</v>
      </c>
      <c r="AA33" s="178">
        <f>X97</f>
        <v>1.1499999999999999</v>
      </c>
      <c r="AB33" s="178">
        <f t="shared" ref="AB33:AB45" si="32">IF(Y33=0,0,1)+Y33</f>
        <v>2.4500000000000002</v>
      </c>
      <c r="AC33" s="184">
        <f t="shared" ref="AC33:AC45" si="33">IF(Z33=0,0,1)+Z33</f>
        <v>2.9</v>
      </c>
      <c r="AD33" s="178">
        <f t="shared" ref="AD33:AD45" si="34">IF(AA33=0,0,1)+AA33</f>
        <v>2.15</v>
      </c>
      <c r="AE33" s="178">
        <f t="shared" ref="AE33:AE45" si="35">IF(Z33=0,0,(AB33*Z33)+AB33)</f>
        <v>7.1050000000000004</v>
      </c>
      <c r="AF33" s="178">
        <f t="shared" ref="AF33:AF45" si="36">IF(AA33=0,0,(AC33*AA33)+AC33)</f>
        <v>6.2349999999999994</v>
      </c>
      <c r="AG33" s="178">
        <f t="shared" ref="AG33:AG45" si="37">IF(Y33=0,0,(AD33*Y33)+AD33)</f>
        <v>5.2675000000000001</v>
      </c>
      <c r="AH33" s="178">
        <f t="shared" ref="AH33:AH45" si="38">IF(AA33=0,0,(AE33*AA33)+AE33)</f>
        <v>15.27575</v>
      </c>
      <c r="AI33" s="178">
        <f t="shared" ref="AI33:AI45" si="39">SUM(AB33:AH33)-AK33</f>
        <v>34.383250000000004</v>
      </c>
      <c r="AJ33" s="187" t="str">
        <f t="shared" ref="AJ33:AJ47" si="40">$V33</f>
        <v>Nigel Heyes</v>
      </c>
      <c r="AK33" s="1">
        <f t="shared" ref="AK33:AK46" si="41">IF(W33=3,7,IF(W33=2,3,1))</f>
        <v>7</v>
      </c>
    </row>
    <row r="34" spans="2:37" ht="13.15" thickBot="1">
      <c r="B34" s="181"/>
      <c r="C34" s="181" t="str">
        <f>Picks!B34</f>
        <v>Gillingham</v>
      </c>
      <c r="D34" s="182">
        <f>Picks!C34</f>
        <v>7</v>
      </c>
      <c r="E34" s="182">
        <f>Picks!D34</f>
        <v>2.2999999999999998</v>
      </c>
      <c r="F34" s="181">
        <f>IF(C34="","",INDEX(Odds!K:K,MATCH(C34,Odds!G:G,0)))</f>
        <v>1</v>
      </c>
      <c r="G34" s="181">
        <f>IF(C34="","",Picks!M34)</f>
        <v>1</v>
      </c>
      <c r="H34" s="182">
        <f t="shared" ref="H34:H65" si="42">IF(C34="","",+((E34-1)*G34*F34*A$2))</f>
        <v>1.2999999999999998</v>
      </c>
      <c r="I34" s="186" t="str">
        <f t="shared" si="23"/>
        <v>Paul Adderley</v>
      </c>
      <c r="J34" s="178">
        <f>H98</f>
        <v>0.30000000000000004</v>
      </c>
      <c r="K34" s="178">
        <f>H99</f>
        <v>0.66666666666666652</v>
      </c>
      <c r="L34" s="178">
        <f>H100</f>
        <v>0</v>
      </c>
      <c r="M34" s="178">
        <f t="shared" si="24"/>
        <v>1.3</v>
      </c>
      <c r="N34" s="178">
        <f t="shared" si="25"/>
        <v>1.6666666666666665</v>
      </c>
      <c r="O34" s="178">
        <f t="shared" si="26"/>
        <v>0</v>
      </c>
      <c r="P34" s="178">
        <f t="shared" si="27"/>
        <v>2.1666666666666665</v>
      </c>
      <c r="Q34" s="178">
        <f t="shared" si="28"/>
        <v>0</v>
      </c>
      <c r="R34" s="178">
        <f t="shared" si="29"/>
        <v>0</v>
      </c>
      <c r="S34" s="178">
        <f t="shared" si="30"/>
        <v>0</v>
      </c>
      <c r="T34" s="178">
        <f t="shared" si="31"/>
        <v>-1.8666666666666671</v>
      </c>
      <c r="U34" s="147">
        <f>SUM(G98:G100)</f>
        <v>2</v>
      </c>
      <c r="V34" s="117" t="s">
        <v>277</v>
      </c>
      <c r="W34" s="147">
        <f>SUM(F98:F100)</f>
        <v>3</v>
      </c>
      <c r="X34" s="180">
        <f t="shared" ref="X34:X65" si="43">+((E34-1)*F34*A$2)</f>
        <v>1.2999999999999998</v>
      </c>
      <c r="Y34" s="184">
        <f>X98</f>
        <v>0.30000000000000004</v>
      </c>
      <c r="Z34" s="178">
        <f>X99</f>
        <v>0.66666666666666652</v>
      </c>
      <c r="AA34" s="178">
        <f>X100</f>
        <v>3.5999999999999996</v>
      </c>
      <c r="AB34" s="178">
        <f t="shared" si="32"/>
        <v>1.3</v>
      </c>
      <c r="AC34" s="184">
        <f t="shared" si="33"/>
        <v>1.6666666666666665</v>
      </c>
      <c r="AD34" s="178">
        <f t="shared" si="34"/>
        <v>4.5999999999999996</v>
      </c>
      <c r="AE34" s="178">
        <f t="shared" si="35"/>
        <v>2.1666666666666665</v>
      </c>
      <c r="AF34" s="178">
        <f t="shared" si="36"/>
        <v>7.6666666666666661</v>
      </c>
      <c r="AG34" s="178">
        <f t="shared" si="37"/>
        <v>5.9799999999999995</v>
      </c>
      <c r="AH34" s="178">
        <f t="shared" si="38"/>
        <v>9.966666666666665</v>
      </c>
      <c r="AI34" s="178">
        <f t="shared" si="39"/>
        <v>26.346666666666664</v>
      </c>
      <c r="AJ34" s="187" t="str">
        <f t="shared" si="40"/>
        <v>Paul Adderley</v>
      </c>
      <c r="AK34" s="1">
        <f t="shared" si="41"/>
        <v>7</v>
      </c>
    </row>
    <row r="35" spans="2:37">
      <c r="B35" s="179" t="str">
        <f>$V13</f>
        <v>Chris Griffin</v>
      </c>
      <c r="C35" s="179" t="str">
        <f>Picks!B35</f>
        <v>Everton draw</v>
      </c>
      <c r="D35" s="180">
        <f>Picks!C35</f>
        <v>7</v>
      </c>
      <c r="E35" s="180">
        <f>Picks!D35</f>
        <v>3.2</v>
      </c>
      <c r="F35" s="179">
        <f>IF(C35="","",INDEX(Odds!K:K,MATCH(C35,Odds!G:G,0)))</f>
        <v>1</v>
      </c>
      <c r="G35" s="179">
        <f>IF(C35="","",Picks!M35)</f>
        <v>1</v>
      </c>
      <c r="H35" s="180">
        <f t="shared" si="42"/>
        <v>2.2000000000000002</v>
      </c>
      <c r="I35" s="186" t="str">
        <f t="shared" si="23"/>
        <v>Paul Allen</v>
      </c>
      <c r="J35" s="178">
        <f>H101</f>
        <v>0</v>
      </c>
      <c r="K35" s="178">
        <f>H102</f>
        <v>0</v>
      </c>
      <c r="L35" s="178">
        <f>H103</f>
        <v>2.2000000000000002</v>
      </c>
      <c r="M35" s="178">
        <f t="shared" si="24"/>
        <v>0</v>
      </c>
      <c r="N35" s="178">
        <f t="shared" si="25"/>
        <v>0</v>
      </c>
      <c r="O35" s="178">
        <f t="shared" si="26"/>
        <v>3.2</v>
      </c>
      <c r="P35" s="178">
        <f t="shared" si="27"/>
        <v>0</v>
      </c>
      <c r="Q35" s="178">
        <f t="shared" si="28"/>
        <v>0</v>
      </c>
      <c r="R35" s="178">
        <f t="shared" si="29"/>
        <v>0</v>
      </c>
      <c r="S35" s="178">
        <f t="shared" si="30"/>
        <v>0</v>
      </c>
      <c r="T35" s="178">
        <f t="shared" si="31"/>
        <v>-3.8</v>
      </c>
      <c r="U35" s="147">
        <f>SUM(G101:G103)</f>
        <v>1</v>
      </c>
      <c r="V35" s="117" t="s">
        <v>268</v>
      </c>
      <c r="W35" s="147">
        <f>SUM(F101:F103)</f>
        <v>3</v>
      </c>
      <c r="X35" s="180">
        <f t="shared" si="43"/>
        <v>2.2000000000000002</v>
      </c>
      <c r="Y35" s="178">
        <f>X101</f>
        <v>3</v>
      </c>
      <c r="Z35" s="178">
        <f>X102</f>
        <v>2.5</v>
      </c>
      <c r="AA35" s="178">
        <f>X103</f>
        <v>2.2000000000000002</v>
      </c>
      <c r="AB35" s="178">
        <f t="shared" si="32"/>
        <v>4</v>
      </c>
      <c r="AC35" s="184">
        <f t="shared" si="33"/>
        <v>3.5</v>
      </c>
      <c r="AD35" s="178">
        <f t="shared" si="34"/>
        <v>3.2</v>
      </c>
      <c r="AE35" s="178">
        <f t="shared" si="35"/>
        <v>14</v>
      </c>
      <c r="AF35" s="178">
        <f t="shared" si="36"/>
        <v>11.200000000000001</v>
      </c>
      <c r="AG35" s="178">
        <f t="shared" si="37"/>
        <v>12.8</v>
      </c>
      <c r="AH35" s="178">
        <f t="shared" si="38"/>
        <v>44.800000000000004</v>
      </c>
      <c r="AI35" s="178">
        <f t="shared" si="39"/>
        <v>86.5</v>
      </c>
      <c r="AJ35" s="187" t="str">
        <f t="shared" si="40"/>
        <v>Paul Allen</v>
      </c>
      <c r="AK35" s="1">
        <f t="shared" si="41"/>
        <v>7</v>
      </c>
    </row>
    <row r="36" spans="2:37">
      <c r="B36" s="179"/>
      <c r="C36" s="179" t="str">
        <f>Picks!B36</f>
        <v>Newcastle</v>
      </c>
      <c r="D36" s="180">
        <f>Picks!C36</f>
        <v>7</v>
      </c>
      <c r="E36" s="180">
        <f>Picks!D36</f>
        <v>1.4444444444444444</v>
      </c>
      <c r="F36" s="179">
        <f>IF(C36="","",INDEX(Odds!K:K,MATCH(C36,Odds!G:G,0)))</f>
        <v>1</v>
      </c>
      <c r="G36" s="179">
        <f>IF(C36="","",Picks!M36)</f>
        <v>1</v>
      </c>
      <c r="H36" s="180">
        <f t="shared" si="42"/>
        <v>0.44444444444444442</v>
      </c>
      <c r="I36" s="186" t="str">
        <f t="shared" si="23"/>
        <v>Paul Barnes</v>
      </c>
      <c r="J36" s="178">
        <f>H104</f>
        <v>0.90909090909090917</v>
      </c>
      <c r="K36" s="178">
        <f>H105</f>
        <v>0.44444444444444442</v>
      </c>
      <c r="L36" s="178">
        <f>H106</f>
        <v>0</v>
      </c>
      <c r="M36" s="178">
        <f t="shared" si="24"/>
        <v>1.9090909090909092</v>
      </c>
      <c r="N36" s="178">
        <f t="shared" si="25"/>
        <v>1.4444444444444444</v>
      </c>
      <c r="O36" s="178">
        <f t="shared" si="26"/>
        <v>0</v>
      </c>
      <c r="P36" s="178">
        <f t="shared" si="27"/>
        <v>2.7575757575757578</v>
      </c>
      <c r="Q36" s="178">
        <f t="shared" si="28"/>
        <v>0</v>
      </c>
      <c r="R36" s="178">
        <f t="shared" si="29"/>
        <v>0</v>
      </c>
      <c r="S36" s="178">
        <f t="shared" si="30"/>
        <v>0</v>
      </c>
      <c r="T36" s="178">
        <f t="shared" si="31"/>
        <v>-0.8888888888888884</v>
      </c>
      <c r="U36" s="147">
        <f>SUM(G104:G106)</f>
        <v>2</v>
      </c>
      <c r="V36" s="119" t="s">
        <v>286</v>
      </c>
      <c r="W36" s="147">
        <f>SUM(F104:F106)</f>
        <v>3</v>
      </c>
      <c r="X36" s="180">
        <f t="shared" si="43"/>
        <v>0.44444444444444442</v>
      </c>
      <c r="Y36" s="178">
        <f>X104</f>
        <v>0.90909090909090917</v>
      </c>
      <c r="Z36" s="178">
        <f>X105</f>
        <v>0.44444444444444442</v>
      </c>
      <c r="AA36" s="178">
        <f>X106</f>
        <v>0.61538461538461542</v>
      </c>
      <c r="AB36" s="178">
        <f t="shared" si="32"/>
        <v>1.9090909090909092</v>
      </c>
      <c r="AC36" s="184">
        <f t="shared" si="33"/>
        <v>1.4444444444444444</v>
      </c>
      <c r="AD36" s="178">
        <f t="shared" si="34"/>
        <v>1.6153846153846154</v>
      </c>
      <c r="AE36" s="178">
        <f t="shared" si="35"/>
        <v>2.7575757575757578</v>
      </c>
      <c r="AF36" s="178">
        <f t="shared" si="36"/>
        <v>2.3333333333333335</v>
      </c>
      <c r="AG36" s="178">
        <f t="shared" si="37"/>
        <v>3.0839160839160842</v>
      </c>
      <c r="AH36" s="178">
        <f t="shared" si="38"/>
        <v>4.454545454545455</v>
      </c>
      <c r="AI36" s="178">
        <f t="shared" si="39"/>
        <v>10.598290598290603</v>
      </c>
      <c r="AJ36" s="187" t="str">
        <f t="shared" si="40"/>
        <v>Paul Barnes</v>
      </c>
      <c r="AK36" s="1">
        <f t="shared" si="41"/>
        <v>7</v>
      </c>
    </row>
    <row r="37" spans="2:37" ht="13.15" thickBot="1">
      <c r="B37" s="181"/>
      <c r="C37" s="181" t="str">
        <f>Picks!B37</f>
        <v>Middlesbro</v>
      </c>
      <c r="D37" s="182">
        <f>Picks!C37</f>
        <v>7</v>
      </c>
      <c r="E37" s="182">
        <f>Picks!D37</f>
        <v>2.4500000000000002</v>
      </c>
      <c r="F37" s="181">
        <f>IF(C37="","",INDEX(Odds!K:K,MATCH(C37,Odds!G:G,0)))</f>
        <v>1</v>
      </c>
      <c r="G37" s="181">
        <f>IF(C37="","",Picks!M37)</f>
        <v>0</v>
      </c>
      <c r="H37" s="182">
        <f t="shared" si="42"/>
        <v>0</v>
      </c>
      <c r="I37" s="186" t="str">
        <f t="shared" si="23"/>
        <v>Paul Fairhurst</v>
      </c>
      <c r="J37" s="178">
        <f>H107</f>
        <v>2.1</v>
      </c>
      <c r="K37" s="178">
        <f>H108</f>
        <v>0</v>
      </c>
      <c r="L37" s="178">
        <f>H109</f>
        <v>2.7</v>
      </c>
      <c r="M37" s="178">
        <f t="shared" si="24"/>
        <v>3.1</v>
      </c>
      <c r="N37" s="178">
        <f t="shared" si="25"/>
        <v>0</v>
      </c>
      <c r="O37" s="178">
        <f t="shared" si="26"/>
        <v>3.7</v>
      </c>
      <c r="P37" s="178">
        <f t="shared" si="27"/>
        <v>0</v>
      </c>
      <c r="Q37" s="178">
        <f t="shared" si="28"/>
        <v>0</v>
      </c>
      <c r="R37" s="178">
        <f t="shared" si="29"/>
        <v>11.47</v>
      </c>
      <c r="S37" s="178">
        <f t="shared" si="30"/>
        <v>0</v>
      </c>
      <c r="T37" s="178">
        <f t="shared" si="31"/>
        <v>11.270000000000003</v>
      </c>
      <c r="U37" s="147">
        <f>SUM(G107:G109)</f>
        <v>2</v>
      </c>
      <c r="V37" s="118" t="s">
        <v>290</v>
      </c>
      <c r="W37" s="147">
        <f>SUM(F107:F109)</f>
        <v>3</v>
      </c>
      <c r="X37" s="180">
        <f t="shared" si="43"/>
        <v>1.4500000000000002</v>
      </c>
      <c r="Y37" s="178">
        <f>X107</f>
        <v>2.1</v>
      </c>
      <c r="Z37" s="178">
        <f>X108</f>
        <v>2.2000000000000002</v>
      </c>
      <c r="AA37" s="178">
        <f>X109</f>
        <v>2.7</v>
      </c>
      <c r="AB37" s="178">
        <f t="shared" si="32"/>
        <v>3.1</v>
      </c>
      <c r="AC37" s="184">
        <f t="shared" si="33"/>
        <v>3.2</v>
      </c>
      <c r="AD37" s="178">
        <f t="shared" si="34"/>
        <v>3.7</v>
      </c>
      <c r="AE37" s="178">
        <f t="shared" si="35"/>
        <v>9.9200000000000017</v>
      </c>
      <c r="AF37" s="178">
        <f t="shared" si="36"/>
        <v>11.84</v>
      </c>
      <c r="AG37" s="178">
        <f t="shared" si="37"/>
        <v>11.47</v>
      </c>
      <c r="AH37" s="178">
        <f t="shared" si="38"/>
        <v>36.704000000000008</v>
      </c>
      <c r="AI37" s="178">
        <f t="shared" si="39"/>
        <v>72.934000000000012</v>
      </c>
      <c r="AJ37" s="187" t="str">
        <f t="shared" si="40"/>
        <v>Paul Fairhurst</v>
      </c>
      <c r="AK37" s="1">
        <f t="shared" si="41"/>
        <v>7</v>
      </c>
    </row>
    <row r="38" spans="2:37">
      <c r="B38" s="180" t="str">
        <f>$V14</f>
        <v>Chris Luck</v>
      </c>
      <c r="C38" s="179" t="str">
        <f>Picks!B38</f>
        <v>Everton</v>
      </c>
      <c r="D38" s="180">
        <f>Picks!C38</f>
        <v>7</v>
      </c>
      <c r="E38" s="180">
        <f>Picks!D38</f>
        <v>2.4500000000000002</v>
      </c>
      <c r="F38" s="179">
        <f>IF(C38="","",INDEX(Odds!K:K,MATCH(C38,Odds!G:G,0)))</f>
        <v>1</v>
      </c>
      <c r="G38" s="179">
        <f>IF(C38="","",Picks!M38)</f>
        <v>0</v>
      </c>
      <c r="H38" s="180">
        <f t="shared" si="42"/>
        <v>0</v>
      </c>
      <c r="I38" s="186" t="str">
        <f t="shared" si="23"/>
        <v>Phil Miller</v>
      </c>
      <c r="J38" s="178" t="str">
        <f>H110</f>
        <v/>
      </c>
      <c r="K38" s="178" t="str">
        <f>H111</f>
        <v/>
      </c>
      <c r="L38" s="178" t="str">
        <f>H112</f>
        <v/>
      </c>
      <c r="M38" s="178" t="e">
        <f t="shared" si="24"/>
        <v>#VALUE!</v>
      </c>
      <c r="N38" s="178" t="e">
        <f t="shared" si="25"/>
        <v>#VALUE!</v>
      </c>
      <c r="O38" s="178" t="e">
        <f t="shared" si="26"/>
        <v>#VALUE!</v>
      </c>
      <c r="P38" s="178" t="e">
        <f t="shared" si="27"/>
        <v>#VALUE!</v>
      </c>
      <c r="Q38" s="178" t="e">
        <f t="shared" si="28"/>
        <v>#VALUE!</v>
      </c>
      <c r="R38" s="178" t="e">
        <f t="shared" si="29"/>
        <v>#VALUE!</v>
      </c>
      <c r="S38" s="178" t="e">
        <f t="shared" si="30"/>
        <v>#VALUE!</v>
      </c>
      <c r="T38" s="178" t="e">
        <f t="shared" si="31"/>
        <v>#VALUE!</v>
      </c>
      <c r="U38" s="147">
        <f>SUM(G110:G112)</f>
        <v>0</v>
      </c>
      <c r="V38" s="120" t="s">
        <v>299</v>
      </c>
      <c r="W38" s="147">
        <f>SUM(F110:F112)</f>
        <v>0</v>
      </c>
      <c r="X38" s="180">
        <f t="shared" si="43"/>
        <v>1.4500000000000002</v>
      </c>
      <c r="Y38" s="178" t="e">
        <f>X110</f>
        <v>#VALUE!</v>
      </c>
      <c r="Z38" s="178" t="e">
        <f>X111</f>
        <v>#VALUE!</v>
      </c>
      <c r="AA38" s="178" t="e">
        <f>X112</f>
        <v>#VALUE!</v>
      </c>
      <c r="AB38" s="178" t="e">
        <f t="shared" si="32"/>
        <v>#VALUE!</v>
      </c>
      <c r="AC38" s="184" t="e">
        <f t="shared" si="33"/>
        <v>#VALUE!</v>
      </c>
      <c r="AD38" s="178" t="e">
        <f t="shared" si="34"/>
        <v>#VALUE!</v>
      </c>
      <c r="AE38" s="178" t="e">
        <f t="shared" si="35"/>
        <v>#VALUE!</v>
      </c>
      <c r="AF38" s="178" t="e">
        <f t="shared" si="36"/>
        <v>#VALUE!</v>
      </c>
      <c r="AG38" s="178" t="e">
        <f t="shared" si="37"/>
        <v>#VALUE!</v>
      </c>
      <c r="AH38" s="178" t="e">
        <f t="shared" si="38"/>
        <v>#VALUE!</v>
      </c>
      <c r="AI38" s="178" t="e">
        <f t="shared" si="39"/>
        <v>#VALUE!</v>
      </c>
      <c r="AJ38" s="187" t="str">
        <f t="shared" si="40"/>
        <v>Phil Miller</v>
      </c>
      <c r="AK38" s="1">
        <f t="shared" si="41"/>
        <v>1</v>
      </c>
    </row>
    <row r="39" spans="2:37">
      <c r="B39" s="179"/>
      <c r="C39" s="179" t="str">
        <f>Picks!B39</f>
        <v>Spurs</v>
      </c>
      <c r="D39" s="180">
        <f>Picks!C39</f>
        <v>7</v>
      </c>
      <c r="E39" s="180">
        <f>Picks!D39</f>
        <v>2.15</v>
      </c>
      <c r="F39" s="179">
        <f>IF(C39="","",INDEX(Odds!K:K,MATCH(C39,Odds!G:G,0)))</f>
        <v>1</v>
      </c>
      <c r="G39" s="179">
        <f>IF(C39="","",Picks!M39)</f>
        <v>1</v>
      </c>
      <c r="H39" s="180">
        <f t="shared" si="42"/>
        <v>1.1499999999999999</v>
      </c>
      <c r="I39" s="186" t="str">
        <f t="shared" si="23"/>
        <v>Rob England</v>
      </c>
      <c r="J39" s="178">
        <f>H113</f>
        <v>0.66666666666666652</v>
      </c>
      <c r="K39" s="178">
        <f>H114</f>
        <v>0</v>
      </c>
      <c r="L39" s="178">
        <f>H115</f>
        <v>0.66666666666666652</v>
      </c>
      <c r="M39" s="178">
        <f t="shared" si="24"/>
        <v>1.6666666666666665</v>
      </c>
      <c r="N39" s="178">
        <f t="shared" si="25"/>
        <v>0</v>
      </c>
      <c r="O39" s="178">
        <f t="shared" si="26"/>
        <v>1.6666666666666665</v>
      </c>
      <c r="P39" s="178">
        <f t="shared" si="27"/>
        <v>0</v>
      </c>
      <c r="Q39" s="178">
        <f t="shared" si="28"/>
        <v>0</v>
      </c>
      <c r="R39" s="178">
        <f t="shared" si="29"/>
        <v>2.7777777777777772</v>
      </c>
      <c r="S39" s="178">
        <f t="shared" si="30"/>
        <v>0</v>
      </c>
      <c r="T39" s="178">
        <f t="shared" si="31"/>
        <v>-0.88888888888888928</v>
      </c>
      <c r="U39" s="147">
        <f>SUM(G113:G115)</f>
        <v>2</v>
      </c>
      <c r="V39" s="117" t="s">
        <v>289</v>
      </c>
      <c r="W39" s="147">
        <f>SUM(F113:F115)</f>
        <v>3</v>
      </c>
      <c r="X39" s="180">
        <f t="shared" si="43"/>
        <v>1.1499999999999999</v>
      </c>
      <c r="Y39" s="178">
        <f>X113</f>
        <v>0.66666666666666652</v>
      </c>
      <c r="Z39" s="178">
        <f>X114</f>
        <v>0.61538461538461542</v>
      </c>
      <c r="AA39" s="178">
        <f>X115</f>
        <v>0.66666666666666652</v>
      </c>
      <c r="AB39" s="178">
        <f t="shared" si="32"/>
        <v>1.6666666666666665</v>
      </c>
      <c r="AC39" s="184">
        <f t="shared" si="33"/>
        <v>1.6153846153846154</v>
      </c>
      <c r="AD39" s="178">
        <f t="shared" si="34"/>
        <v>1.6666666666666665</v>
      </c>
      <c r="AE39" s="178">
        <f t="shared" si="35"/>
        <v>2.6923076923076921</v>
      </c>
      <c r="AF39" s="178">
        <f t="shared" si="36"/>
        <v>2.6923076923076921</v>
      </c>
      <c r="AG39" s="178">
        <f t="shared" si="37"/>
        <v>2.7777777777777772</v>
      </c>
      <c r="AH39" s="178">
        <f t="shared" si="38"/>
        <v>4.4871794871794863</v>
      </c>
      <c r="AI39" s="178">
        <f t="shared" si="39"/>
        <v>10.598290598290596</v>
      </c>
      <c r="AJ39" s="187" t="str">
        <f t="shared" si="40"/>
        <v>Rob England</v>
      </c>
      <c r="AK39" s="1">
        <f t="shared" si="41"/>
        <v>7</v>
      </c>
    </row>
    <row r="40" spans="2:37" ht="13.15" thickBot="1">
      <c r="B40" s="181"/>
      <c r="C40" s="181" t="str">
        <f>Picks!B40</f>
        <v>Charlton</v>
      </c>
      <c r="D40" s="182">
        <f>Picks!C40</f>
        <v>7</v>
      </c>
      <c r="E40" s="182">
        <f>Picks!D40</f>
        <v>2.2999999999999998</v>
      </c>
      <c r="F40" s="181">
        <f>IF(C40="","",INDEX(Odds!K:K,MATCH(C40,Odds!G:G,0)))</f>
        <v>1</v>
      </c>
      <c r="G40" s="181">
        <f>IF(C40="","",Picks!M40)</f>
        <v>0</v>
      </c>
      <c r="H40" s="182">
        <f t="shared" si="42"/>
        <v>0</v>
      </c>
      <c r="I40" s="186" t="str">
        <f t="shared" si="23"/>
        <v>Simon Greenhalgh</v>
      </c>
      <c r="J40" s="178">
        <f>H116</f>
        <v>1.4</v>
      </c>
      <c r="K40" s="178">
        <f>H117</f>
        <v>2</v>
      </c>
      <c r="L40" s="178">
        <f>H118</f>
        <v>0</v>
      </c>
      <c r="M40" s="178">
        <f t="shared" si="24"/>
        <v>2.4</v>
      </c>
      <c r="N40" s="178">
        <f t="shared" si="25"/>
        <v>3</v>
      </c>
      <c r="O40" s="178">
        <f t="shared" si="26"/>
        <v>0</v>
      </c>
      <c r="P40" s="178">
        <f t="shared" si="27"/>
        <v>7.1999999999999993</v>
      </c>
      <c r="Q40" s="178">
        <f t="shared" si="28"/>
        <v>0</v>
      </c>
      <c r="R40" s="178">
        <f t="shared" si="29"/>
        <v>0</v>
      </c>
      <c r="S40" s="178">
        <f t="shared" si="30"/>
        <v>0</v>
      </c>
      <c r="T40" s="178">
        <f t="shared" si="31"/>
        <v>5.6</v>
      </c>
      <c r="U40" s="147">
        <f>SUM(G116:G118)</f>
        <v>2</v>
      </c>
      <c r="V40" s="120" t="s">
        <v>291</v>
      </c>
      <c r="W40" s="147">
        <f>SUM(F116:F118)</f>
        <v>3</v>
      </c>
      <c r="X40" s="180">
        <f t="shared" si="43"/>
        <v>1.2999999999999998</v>
      </c>
      <c r="Y40" s="178">
        <f>X116</f>
        <v>1.4</v>
      </c>
      <c r="Z40" s="178">
        <f>X117</f>
        <v>2</v>
      </c>
      <c r="AA40" s="178">
        <f>X118</f>
        <v>1.75</v>
      </c>
      <c r="AB40" s="178">
        <f t="shared" si="32"/>
        <v>2.4</v>
      </c>
      <c r="AC40" s="184">
        <f t="shared" si="33"/>
        <v>3</v>
      </c>
      <c r="AD40" s="178">
        <f t="shared" si="34"/>
        <v>2.75</v>
      </c>
      <c r="AE40" s="178">
        <f t="shared" si="35"/>
        <v>7.1999999999999993</v>
      </c>
      <c r="AF40" s="178">
        <f t="shared" si="36"/>
        <v>8.25</v>
      </c>
      <c r="AG40" s="178">
        <f t="shared" si="37"/>
        <v>6.6</v>
      </c>
      <c r="AH40" s="178">
        <f t="shared" si="38"/>
        <v>19.799999999999997</v>
      </c>
      <c r="AI40" s="178">
        <f t="shared" si="39"/>
        <v>43</v>
      </c>
      <c r="AJ40" s="187" t="str">
        <f t="shared" si="40"/>
        <v>Simon Greenhalgh</v>
      </c>
      <c r="AK40" s="1">
        <f t="shared" si="41"/>
        <v>7</v>
      </c>
    </row>
    <row r="41" spans="2:37">
      <c r="B41" s="179" t="str">
        <f>$V15</f>
        <v>Dan Gibbard</v>
      </c>
      <c r="C41" s="179" t="str">
        <f>Picks!B41</f>
        <v>West Brom</v>
      </c>
      <c r="D41" s="180">
        <f>Picks!C41</f>
        <v>7</v>
      </c>
      <c r="E41" s="180">
        <f>Picks!D41</f>
        <v>1.8</v>
      </c>
      <c r="F41" s="179">
        <f>IF(C41="","",INDEX(Odds!K:K,MATCH(C41,Odds!G:G,0)))</f>
        <v>1</v>
      </c>
      <c r="G41" s="179">
        <f>IF(C41="","",Picks!M41)</f>
        <v>0</v>
      </c>
      <c r="H41" s="180">
        <f t="shared" si="42"/>
        <v>0</v>
      </c>
      <c r="I41" s="186" t="str">
        <f t="shared" si="23"/>
        <v>Stephen Barr</v>
      </c>
      <c r="J41" s="178">
        <f>H119</f>
        <v>0</v>
      </c>
      <c r="K41" s="178">
        <f>H120</f>
        <v>1.1499999999999999</v>
      </c>
      <c r="L41" s="178">
        <f>H121</f>
        <v>0</v>
      </c>
      <c r="M41" s="178">
        <f t="shared" si="24"/>
        <v>0</v>
      </c>
      <c r="N41" s="178">
        <f t="shared" si="25"/>
        <v>2.15</v>
      </c>
      <c r="O41" s="178">
        <f t="shared" si="26"/>
        <v>0</v>
      </c>
      <c r="P41" s="178">
        <f t="shared" si="27"/>
        <v>0</v>
      </c>
      <c r="Q41" s="178">
        <f t="shared" si="28"/>
        <v>0</v>
      </c>
      <c r="R41" s="178">
        <f t="shared" si="29"/>
        <v>0</v>
      </c>
      <c r="S41" s="178">
        <f t="shared" si="30"/>
        <v>0</v>
      </c>
      <c r="T41" s="178">
        <f t="shared" si="31"/>
        <v>-4.8499999999999996</v>
      </c>
      <c r="U41" s="147">
        <f>SUM(G119:G121)</f>
        <v>1</v>
      </c>
      <c r="V41" s="120" t="s">
        <v>269</v>
      </c>
      <c r="W41" s="147">
        <f>SUM(F119:F121)</f>
        <v>3</v>
      </c>
      <c r="X41" s="180">
        <f t="shared" si="43"/>
        <v>0.8</v>
      </c>
      <c r="Y41" s="178">
        <f>X119</f>
        <v>1.4500000000000002</v>
      </c>
      <c r="Z41" s="178">
        <f>X120</f>
        <v>1.1499999999999999</v>
      </c>
      <c r="AA41" s="178">
        <f>X121</f>
        <v>2.5</v>
      </c>
      <c r="AB41" s="178">
        <f t="shared" si="32"/>
        <v>2.4500000000000002</v>
      </c>
      <c r="AC41" s="184">
        <f t="shared" si="33"/>
        <v>2.15</v>
      </c>
      <c r="AD41" s="178">
        <f t="shared" si="34"/>
        <v>3.5</v>
      </c>
      <c r="AE41" s="178">
        <f t="shared" si="35"/>
        <v>5.2675000000000001</v>
      </c>
      <c r="AF41" s="178">
        <f t="shared" si="36"/>
        <v>7.5250000000000004</v>
      </c>
      <c r="AG41" s="178">
        <f t="shared" si="37"/>
        <v>8.5750000000000011</v>
      </c>
      <c r="AH41" s="178">
        <f t="shared" si="38"/>
        <v>18.436250000000001</v>
      </c>
      <c r="AI41" s="178">
        <f t="shared" si="39"/>
        <v>40.903750000000002</v>
      </c>
      <c r="AJ41" s="187" t="str">
        <f t="shared" si="40"/>
        <v>Stephen Barr</v>
      </c>
      <c r="AK41" s="1">
        <f t="shared" si="41"/>
        <v>7</v>
      </c>
    </row>
    <row r="42" spans="2:37">
      <c r="B42" s="179"/>
      <c r="C42" s="179" t="str">
        <f>Picks!B42</f>
        <v>QPR</v>
      </c>
      <c r="D42" s="180">
        <f>Picks!C42</f>
        <v>7</v>
      </c>
      <c r="E42" s="180">
        <f>Picks!D42</f>
        <v>4</v>
      </c>
      <c r="F42" s="179">
        <f>IF(C42="","",INDEX(Odds!K:K,MATCH(C42,Odds!G:G,0)))</f>
        <v>1</v>
      </c>
      <c r="G42" s="179">
        <f>IF(C42="","",Picks!M42)</f>
        <v>1</v>
      </c>
      <c r="H42" s="180">
        <f t="shared" si="42"/>
        <v>3</v>
      </c>
      <c r="I42" s="186" t="str">
        <f t="shared" si="23"/>
        <v>Steve Carter</v>
      </c>
      <c r="J42" s="178">
        <f>H122</f>
        <v>1.4</v>
      </c>
      <c r="K42" s="178">
        <f>H123</f>
        <v>0</v>
      </c>
      <c r="L42" s="178">
        <f>H124</f>
        <v>1.1499999999999999</v>
      </c>
      <c r="M42" s="178">
        <f t="shared" si="24"/>
        <v>2.4</v>
      </c>
      <c r="N42" s="178">
        <f t="shared" si="25"/>
        <v>0</v>
      </c>
      <c r="O42" s="178">
        <f t="shared" si="26"/>
        <v>2.15</v>
      </c>
      <c r="P42" s="178">
        <f t="shared" si="27"/>
        <v>0</v>
      </c>
      <c r="Q42" s="178">
        <f t="shared" si="28"/>
        <v>0</v>
      </c>
      <c r="R42" s="178">
        <f t="shared" si="29"/>
        <v>5.16</v>
      </c>
      <c r="S42" s="178">
        <f t="shared" si="30"/>
        <v>0</v>
      </c>
      <c r="T42" s="178">
        <f t="shared" si="31"/>
        <v>2.7100000000000009</v>
      </c>
      <c r="U42" s="147">
        <f>SUM(G122:G124)</f>
        <v>2</v>
      </c>
      <c r="V42" s="120" t="s">
        <v>271</v>
      </c>
      <c r="W42" s="147">
        <f>SUM(F122:F124)</f>
        <v>3</v>
      </c>
      <c r="X42" s="180">
        <f t="shared" si="43"/>
        <v>3</v>
      </c>
      <c r="Y42" s="178">
        <f>X122</f>
        <v>1.4</v>
      </c>
      <c r="Z42" s="178">
        <f>X123</f>
        <v>1.4500000000000002</v>
      </c>
      <c r="AA42" s="178">
        <f>X124</f>
        <v>1.1499999999999999</v>
      </c>
      <c r="AB42" s="178">
        <f t="shared" si="32"/>
        <v>2.4</v>
      </c>
      <c r="AC42" s="184">
        <f t="shared" si="33"/>
        <v>2.4500000000000002</v>
      </c>
      <c r="AD42" s="178">
        <f t="shared" si="34"/>
        <v>2.15</v>
      </c>
      <c r="AE42" s="178">
        <f t="shared" si="35"/>
        <v>5.8800000000000008</v>
      </c>
      <c r="AF42" s="178">
        <f t="shared" si="36"/>
        <v>5.2675000000000001</v>
      </c>
      <c r="AG42" s="178">
        <f t="shared" si="37"/>
        <v>5.16</v>
      </c>
      <c r="AH42" s="178">
        <f t="shared" si="38"/>
        <v>12.642000000000001</v>
      </c>
      <c r="AI42" s="178">
        <f t="shared" si="39"/>
        <v>28.9495</v>
      </c>
      <c r="AJ42" s="187" t="str">
        <f t="shared" si="40"/>
        <v>Steve Carter</v>
      </c>
      <c r="AK42" s="1">
        <f t="shared" si="41"/>
        <v>7</v>
      </c>
    </row>
    <row r="43" spans="2:37" ht="13.15" thickBot="1">
      <c r="B43" s="181"/>
      <c r="C43" s="181" t="str">
        <f>Picks!B43</f>
        <v>Southampton draw</v>
      </c>
      <c r="D43" s="182">
        <f>Picks!C43</f>
        <v>1</v>
      </c>
      <c r="E43" s="182">
        <f>Picks!D43</f>
        <v>3.7</v>
      </c>
      <c r="F43" s="181">
        <f>IF(C43="","",INDEX(Odds!K:K,MATCH(C43,Odds!G:G,0)))</f>
        <v>1</v>
      </c>
      <c r="G43" s="181">
        <f>IF(C43="","",Picks!M43)</f>
        <v>1</v>
      </c>
      <c r="H43" s="182">
        <f t="shared" si="42"/>
        <v>2.7</v>
      </c>
      <c r="I43" s="186" t="str">
        <f t="shared" si="23"/>
        <v>Steve Waterhouse</v>
      </c>
      <c r="J43" s="178">
        <f>H125</f>
        <v>0</v>
      </c>
      <c r="K43" s="178">
        <f>H126</f>
        <v>0</v>
      </c>
      <c r="L43" s="178">
        <f>H127</f>
        <v>1.1000000000000001</v>
      </c>
      <c r="M43" s="178">
        <f t="shared" si="24"/>
        <v>0</v>
      </c>
      <c r="N43" s="178">
        <f t="shared" si="25"/>
        <v>0</v>
      </c>
      <c r="O43" s="178">
        <f t="shared" si="26"/>
        <v>2.1</v>
      </c>
      <c r="P43" s="178">
        <f t="shared" si="27"/>
        <v>0</v>
      </c>
      <c r="Q43" s="178">
        <f t="shared" si="28"/>
        <v>0</v>
      </c>
      <c r="R43" s="178">
        <f t="shared" si="29"/>
        <v>0</v>
      </c>
      <c r="S43" s="178">
        <f t="shared" si="30"/>
        <v>0</v>
      </c>
      <c r="T43" s="178">
        <f t="shared" si="31"/>
        <v>-4.9000000000000004</v>
      </c>
      <c r="U43" s="147">
        <f>SUM(G125:G127)</f>
        <v>1</v>
      </c>
      <c r="V43" s="117" t="s">
        <v>533</v>
      </c>
      <c r="W43" s="147">
        <f>SUM(F125:F127)</f>
        <v>3</v>
      </c>
      <c r="X43" s="180">
        <f t="shared" si="43"/>
        <v>2.7</v>
      </c>
      <c r="Y43" s="178">
        <f>X125</f>
        <v>0.8</v>
      </c>
      <c r="Z43" s="178">
        <f>X126</f>
        <v>0.90909090909090917</v>
      </c>
      <c r="AA43" s="178">
        <f>X127</f>
        <v>1.1000000000000001</v>
      </c>
      <c r="AB43" s="178">
        <f t="shared" si="32"/>
        <v>1.8</v>
      </c>
      <c r="AC43" s="184">
        <f t="shared" si="33"/>
        <v>1.9090909090909092</v>
      </c>
      <c r="AD43" s="178">
        <f t="shared" si="34"/>
        <v>2.1</v>
      </c>
      <c r="AE43" s="178">
        <f t="shared" si="35"/>
        <v>3.4363636363636365</v>
      </c>
      <c r="AF43" s="178">
        <f t="shared" si="36"/>
        <v>4.0090909090909097</v>
      </c>
      <c r="AG43" s="178">
        <f t="shared" si="37"/>
        <v>3.7800000000000002</v>
      </c>
      <c r="AH43" s="178">
        <f t="shared" si="38"/>
        <v>7.2163636363636368</v>
      </c>
      <c r="AI43" s="178">
        <f t="shared" si="39"/>
        <v>17.25090909090909</v>
      </c>
      <c r="AJ43" s="187" t="str">
        <f t="shared" si="40"/>
        <v>Steve Waterhouse</v>
      </c>
      <c r="AK43" s="1">
        <f t="shared" si="41"/>
        <v>7</v>
      </c>
    </row>
    <row r="44" spans="2:37">
      <c r="B44" s="180" t="str">
        <f>$V16</f>
        <v>Dave Bell</v>
      </c>
      <c r="C44" s="179" t="str">
        <f>Picks!B44</f>
        <v>Forest</v>
      </c>
      <c r="D44" s="180">
        <f>Picks!C44</f>
        <v>7</v>
      </c>
      <c r="E44" s="180">
        <f>Picks!D44</f>
        <v>7.5</v>
      </c>
      <c r="F44" s="179">
        <f>IF(C44="","",INDEX(Odds!K:K,MATCH(C44,Odds!G:G,0)))</f>
        <v>1</v>
      </c>
      <c r="G44" s="179">
        <f>IF(C44="","",Picks!M44)</f>
        <v>0</v>
      </c>
      <c r="H44" s="180">
        <f t="shared" si="42"/>
        <v>0</v>
      </c>
      <c r="I44" s="186" t="str">
        <f t="shared" si="23"/>
        <v>Tom Robinson</v>
      </c>
      <c r="J44" s="178">
        <f>H128</f>
        <v>0.44444444444444442</v>
      </c>
      <c r="K44" s="178">
        <f>H129</f>
        <v>1.5</v>
      </c>
      <c r="L44" s="178">
        <f>H130</f>
        <v>0</v>
      </c>
      <c r="M44" s="178">
        <f t="shared" si="24"/>
        <v>1.4444444444444444</v>
      </c>
      <c r="N44" s="178">
        <f t="shared" si="25"/>
        <v>2.5</v>
      </c>
      <c r="O44" s="178">
        <f t="shared" si="26"/>
        <v>0</v>
      </c>
      <c r="P44" s="178">
        <f t="shared" si="27"/>
        <v>3.6111111111111107</v>
      </c>
      <c r="Q44" s="178">
        <f t="shared" si="28"/>
        <v>0</v>
      </c>
      <c r="R44" s="178">
        <f t="shared" si="29"/>
        <v>0</v>
      </c>
      <c r="S44" s="178">
        <f t="shared" si="30"/>
        <v>0</v>
      </c>
      <c r="T44" s="178">
        <f t="shared" si="31"/>
        <v>0.55555555555555536</v>
      </c>
      <c r="U44" s="147">
        <f>SUM(G128:G130)</f>
        <v>2</v>
      </c>
      <c r="V44" s="117" t="s">
        <v>306</v>
      </c>
      <c r="W44" s="147">
        <f>SUM(F128:F130)</f>
        <v>3</v>
      </c>
      <c r="X44" s="180">
        <f t="shared" si="43"/>
        <v>6.5</v>
      </c>
      <c r="Y44" s="178">
        <f>X128</f>
        <v>0.44444444444444442</v>
      </c>
      <c r="Z44" s="178">
        <f>X129</f>
        <v>1.5</v>
      </c>
      <c r="AA44" s="178">
        <f>X130</f>
        <v>0.72727272727272729</v>
      </c>
      <c r="AB44" s="178">
        <f t="shared" si="32"/>
        <v>1.4444444444444444</v>
      </c>
      <c r="AC44" s="184">
        <f t="shared" si="33"/>
        <v>2.5</v>
      </c>
      <c r="AD44" s="178">
        <f t="shared" si="34"/>
        <v>1.7272727272727273</v>
      </c>
      <c r="AE44" s="178">
        <f t="shared" si="35"/>
        <v>3.6111111111111107</v>
      </c>
      <c r="AF44" s="178">
        <f t="shared" si="36"/>
        <v>4.3181818181818183</v>
      </c>
      <c r="AG44" s="178">
        <f t="shared" si="37"/>
        <v>2.4949494949494948</v>
      </c>
      <c r="AH44" s="178">
        <f t="shared" si="38"/>
        <v>6.237373737373737</v>
      </c>
      <c r="AI44" s="178">
        <f t="shared" si="39"/>
        <v>15.333333333333336</v>
      </c>
      <c r="AJ44" s="187" t="str">
        <f t="shared" si="40"/>
        <v>Tom Robinson</v>
      </c>
      <c r="AK44" s="1">
        <f t="shared" si="41"/>
        <v>7</v>
      </c>
    </row>
    <row r="45" spans="2:37">
      <c r="B45" s="179"/>
      <c r="C45" s="179" t="str">
        <f>Picks!B45</f>
        <v>Wolves</v>
      </c>
      <c r="D45" s="180">
        <f>Picks!C45</f>
        <v>7</v>
      </c>
      <c r="E45" s="180">
        <f>Picks!D45</f>
        <v>6.5</v>
      </c>
      <c r="F45" s="179">
        <f>IF(C45="","",INDEX(Odds!K:K,MATCH(C45,Odds!G:G,0)))</f>
        <v>1</v>
      </c>
      <c r="G45" s="179">
        <f>IF(C45="","",Picks!M45)</f>
        <v>0</v>
      </c>
      <c r="H45" s="180">
        <f t="shared" si="42"/>
        <v>0</v>
      </c>
      <c r="I45" s="186" t="str">
        <f t="shared" si="23"/>
        <v>Vinny Topping</v>
      </c>
      <c r="J45" s="178">
        <f>H131</f>
        <v>0</v>
      </c>
      <c r="K45" s="178">
        <f>H132</f>
        <v>0</v>
      </c>
      <c r="L45" s="178">
        <f>H133</f>
        <v>0</v>
      </c>
      <c r="M45" s="178">
        <f t="shared" si="24"/>
        <v>0</v>
      </c>
      <c r="N45" s="178">
        <f t="shared" si="25"/>
        <v>0</v>
      </c>
      <c r="O45" s="178">
        <f t="shared" si="26"/>
        <v>0</v>
      </c>
      <c r="P45" s="178">
        <f t="shared" si="27"/>
        <v>0</v>
      </c>
      <c r="Q45" s="178">
        <f t="shared" si="28"/>
        <v>0</v>
      </c>
      <c r="R45" s="178">
        <f t="shared" si="29"/>
        <v>0</v>
      </c>
      <c r="S45" s="178">
        <f t="shared" si="30"/>
        <v>0</v>
      </c>
      <c r="T45" s="178">
        <f t="shared" si="31"/>
        <v>-7</v>
      </c>
      <c r="U45" s="147">
        <f>SUM(G131:G133)</f>
        <v>0</v>
      </c>
      <c r="V45" s="117" t="s">
        <v>285</v>
      </c>
      <c r="W45" s="147">
        <f>SUM(F131:F133)</f>
        <v>3</v>
      </c>
      <c r="X45" s="180">
        <f t="shared" si="43"/>
        <v>5.5</v>
      </c>
      <c r="Y45" s="178">
        <f>X131</f>
        <v>1.5</v>
      </c>
      <c r="Z45" s="178">
        <f>X132</f>
        <v>1.75</v>
      </c>
      <c r="AA45" s="178">
        <f>X133</f>
        <v>1.7999999999999998</v>
      </c>
      <c r="AB45" s="178">
        <f t="shared" si="32"/>
        <v>2.5</v>
      </c>
      <c r="AC45" s="184">
        <f t="shared" si="33"/>
        <v>2.75</v>
      </c>
      <c r="AD45" s="178">
        <f t="shared" si="34"/>
        <v>2.8</v>
      </c>
      <c r="AE45" s="178">
        <f t="shared" si="35"/>
        <v>6.875</v>
      </c>
      <c r="AF45" s="178">
        <f t="shared" si="36"/>
        <v>7.6999999999999993</v>
      </c>
      <c r="AG45" s="178">
        <f t="shared" si="37"/>
        <v>6.9999999999999991</v>
      </c>
      <c r="AH45" s="178">
        <f t="shared" si="38"/>
        <v>19.25</v>
      </c>
      <c r="AI45" s="178">
        <f t="shared" si="39"/>
        <v>41.875</v>
      </c>
      <c r="AJ45" s="187" t="str">
        <f t="shared" si="40"/>
        <v>Vinny Topping</v>
      </c>
      <c r="AK45" s="1">
        <f t="shared" si="41"/>
        <v>7</v>
      </c>
    </row>
    <row r="46" spans="2:37" ht="13.15" thickBot="1">
      <c r="B46" s="181"/>
      <c r="C46" s="181" t="str">
        <f>Picks!B46</f>
        <v>Sunderland</v>
      </c>
      <c r="D46" s="182">
        <f>Picks!C46</f>
        <v>7</v>
      </c>
      <c r="E46" s="182">
        <f>Picks!D46</f>
        <v>5</v>
      </c>
      <c r="F46" s="181">
        <f>IF(C46="","",INDEX(Odds!K:K,MATCH(C46,Odds!G:G,0)))</f>
        <v>1</v>
      </c>
      <c r="G46" s="181">
        <f>IF(C46="","",Picks!M46)</f>
        <v>0</v>
      </c>
      <c r="H46" s="182">
        <f t="shared" si="42"/>
        <v>0</v>
      </c>
      <c r="I46" s="186" t="str">
        <f>V46</f>
        <v>Dot Bow</v>
      </c>
      <c r="J46" s="178">
        <f>H134</f>
        <v>0</v>
      </c>
      <c r="K46" s="178">
        <f>H135</f>
        <v>0.44444444444444442</v>
      </c>
      <c r="L46" s="178">
        <f>H136</f>
        <v>0</v>
      </c>
      <c r="M46" s="178">
        <f t="shared" ref="M46" si="44">IF(J46=0,0,1)+J46</f>
        <v>0</v>
      </c>
      <c r="N46" s="178">
        <f t="shared" ref="N46" si="45">IF(K46=0,0,1)+K46</f>
        <v>1.4444444444444444</v>
      </c>
      <c r="O46" s="178">
        <f t="shared" ref="O46" si="46">IF(L46=0,0,1)+L46</f>
        <v>0</v>
      </c>
      <c r="P46" s="178">
        <f t="shared" ref="P46" si="47">IF(K46=0,0,(M46*K46)+M46)</f>
        <v>0</v>
      </c>
      <c r="Q46" s="178">
        <f t="shared" ref="Q46" si="48">IF(L46=0,0,(N46*L46)+N46)</f>
        <v>0</v>
      </c>
      <c r="R46" s="178">
        <f t="shared" ref="R46" si="49">IF(J46=0,0,(O46*J46)+O46)</f>
        <v>0</v>
      </c>
      <c r="S46" s="178">
        <f t="shared" ref="S46" si="50">IF(L46=0,0,(P46*L46)+P46)</f>
        <v>0</v>
      </c>
      <c r="T46" s="178">
        <f t="shared" ref="T46" si="51">SUM(M46:S46)-(IF(W46=1,A$2*1,0))-(IF(W46=2,A$2*3,0))-(IF(W46=3,A$2*7,0))</f>
        <v>-5.5555555555555554</v>
      </c>
      <c r="U46" s="147">
        <f>SUM(G134:G136)</f>
        <v>1</v>
      </c>
      <c r="V46" s="119" t="s">
        <v>574</v>
      </c>
      <c r="W46" s="147">
        <f>SUM(F134:F136)</f>
        <v>3</v>
      </c>
      <c r="X46" s="180">
        <f t="shared" si="43"/>
        <v>4</v>
      </c>
      <c r="Y46" s="178">
        <f>X134</f>
        <v>2.9</v>
      </c>
      <c r="Z46" s="178">
        <f>X135</f>
        <v>0.44444444444444442</v>
      </c>
      <c r="AA46" s="178">
        <f>X136</f>
        <v>1.7999999999999998</v>
      </c>
      <c r="AB46" s="178">
        <f t="shared" ref="AB46" si="52">IF(Y46=0,0,1)+Y46</f>
        <v>3.9</v>
      </c>
      <c r="AC46" s="184">
        <f t="shared" ref="AC46" si="53">IF(Z46=0,0,1)+Z46</f>
        <v>1.4444444444444444</v>
      </c>
      <c r="AD46" s="178">
        <f t="shared" ref="AD46" si="54">IF(AA46=0,0,1)+AA46</f>
        <v>2.8</v>
      </c>
      <c r="AE46" s="178">
        <f t="shared" ref="AE46" si="55">IF(Z46=0,0,(AB46*Z46)+AB46)</f>
        <v>5.6333333333333329</v>
      </c>
      <c r="AF46" s="178">
        <f t="shared" ref="AF46" si="56">IF(AA46=0,0,(AC46*AA46)+AC46)</f>
        <v>4.0444444444444443</v>
      </c>
      <c r="AG46" s="178">
        <f t="shared" ref="AG46" si="57">IF(Y46=0,0,(AD46*Y46)+AD46)</f>
        <v>10.919999999999998</v>
      </c>
      <c r="AH46" s="178">
        <f t="shared" ref="AH46" si="58">IF(AA46=0,0,(AE46*AA46)+AE46)</f>
        <v>15.773333333333332</v>
      </c>
      <c r="AI46" s="178">
        <f t="shared" ref="AI46" si="59">SUM(AB46:AH46)-AK46</f>
        <v>37.515555555555551</v>
      </c>
      <c r="AJ46" s="187" t="str">
        <f t="shared" si="40"/>
        <v>Dot Bow</v>
      </c>
      <c r="AK46" s="1">
        <f t="shared" si="41"/>
        <v>7</v>
      </c>
    </row>
    <row r="47" spans="2:37">
      <c r="B47" s="180" t="str">
        <f>$V17</f>
        <v>David Dunn</v>
      </c>
      <c r="C47" s="179" t="str">
        <f>Picks!B47</f>
        <v>Chelsea</v>
      </c>
      <c r="D47" s="180">
        <f>Picks!C47</f>
        <v>7</v>
      </c>
      <c r="E47" s="180">
        <f>Picks!D47</f>
        <v>1.75</v>
      </c>
      <c r="F47" s="179">
        <f>IF(C47="","",INDEX(Odds!K:K,MATCH(C47,Odds!G:G,0)))</f>
        <v>1</v>
      </c>
      <c r="G47" s="179">
        <f>IF(C47="","",Picks!M47)</f>
        <v>0</v>
      </c>
      <c r="H47" s="180">
        <f t="shared" si="42"/>
        <v>0</v>
      </c>
      <c r="I47" s="186" t="str">
        <f>V47</f>
        <v>Katy Savory</v>
      </c>
      <c r="J47" s="178">
        <f>H137</f>
        <v>0.66666666666666652</v>
      </c>
      <c r="K47" s="178">
        <f>H138</f>
        <v>0.30000000000000004</v>
      </c>
      <c r="L47" s="178">
        <f>H139</f>
        <v>0</v>
      </c>
      <c r="M47" s="178">
        <f t="shared" ref="M47" si="60">IF(J47=0,0,1)+J47</f>
        <v>1.6666666666666665</v>
      </c>
      <c r="N47" s="178">
        <f t="shared" ref="N47" si="61">IF(K47=0,0,1)+K47</f>
        <v>1.3</v>
      </c>
      <c r="O47" s="178">
        <f t="shared" ref="O47" si="62">IF(L47=0,0,1)+L47</f>
        <v>0</v>
      </c>
      <c r="P47" s="178">
        <f t="shared" ref="P47" si="63">IF(K47=0,0,(M47*K47)+M47)</f>
        <v>2.1666666666666665</v>
      </c>
      <c r="Q47" s="178">
        <f t="shared" ref="Q47" si="64">IF(L47=0,0,(N47*L47)+N47)</f>
        <v>0</v>
      </c>
      <c r="R47" s="178">
        <f t="shared" ref="R47" si="65">IF(J47=0,0,(O47*J47)+O47)</f>
        <v>0</v>
      </c>
      <c r="S47" s="178">
        <f t="shared" ref="S47" si="66">IF(L47=0,0,(P47*L47)+P47)</f>
        <v>0</v>
      </c>
      <c r="T47" s="178">
        <f t="shared" ref="T47" si="67">SUM(M47:S47)-(IF(W47=1,A$2*1,0))-(IF(W47=2,A$2*3,0))-(IF(W47=3,A$2*7,0))</f>
        <v>-1.8666666666666671</v>
      </c>
      <c r="U47" s="147">
        <f>SUM(G135:G137)</f>
        <v>2</v>
      </c>
      <c r="V47" s="119" t="s">
        <v>575</v>
      </c>
      <c r="W47" s="147">
        <f>SUM(F137:F139)</f>
        <v>3</v>
      </c>
      <c r="X47" s="180">
        <f t="shared" si="43"/>
        <v>0.75</v>
      </c>
      <c r="Y47" s="178">
        <f>X137</f>
        <v>0.66666666666666652</v>
      </c>
      <c r="Z47" s="178">
        <f>X138</f>
        <v>0.30000000000000004</v>
      </c>
      <c r="AA47" s="178">
        <f>X139</f>
        <v>0.5</v>
      </c>
      <c r="AB47" s="178">
        <f t="shared" ref="AB47" si="68">IF(Y47=0,0,1)+Y47</f>
        <v>1.6666666666666665</v>
      </c>
      <c r="AC47" s="184">
        <f t="shared" ref="AC47" si="69">IF(Z47=0,0,1)+Z47</f>
        <v>1.3</v>
      </c>
      <c r="AD47" s="178">
        <f t="shared" ref="AD47" si="70">IF(AA47=0,0,1)+AA47</f>
        <v>1.5</v>
      </c>
      <c r="AE47" s="178">
        <f t="shared" ref="AE47" si="71">IF(Z47=0,0,(AB47*Z47)+AB47)</f>
        <v>2.1666666666666665</v>
      </c>
      <c r="AF47" s="178">
        <f t="shared" ref="AF47" si="72">IF(AA47=0,0,(AC47*AA47)+AC47)</f>
        <v>1.9500000000000002</v>
      </c>
      <c r="AG47" s="178">
        <f t="shared" ref="AG47" si="73">IF(Y47=0,0,(AD47*Y47)+AD47)</f>
        <v>2.5</v>
      </c>
      <c r="AH47" s="178">
        <f t="shared" ref="AH47" si="74">IF(AA47=0,0,(AE47*AA47)+AE47)</f>
        <v>3.25</v>
      </c>
      <c r="AI47" s="178">
        <f t="shared" ref="AI47" si="75">SUM(AB47:AH47)-AK47</f>
        <v>7.3333333333333321</v>
      </c>
      <c r="AJ47" s="187" t="str">
        <f t="shared" si="40"/>
        <v>Katy Savory</v>
      </c>
      <c r="AK47" s="1">
        <f t="shared" ref="AK47" si="76">IF(W47=3,7,IF(W47=2,3,1))</f>
        <v>7</v>
      </c>
    </row>
    <row r="48" spans="2:37">
      <c r="B48" s="179"/>
      <c r="C48" s="179" t="str">
        <f>Picks!B48</f>
        <v>Leeds</v>
      </c>
      <c r="D48" s="180">
        <f>Picks!C48</f>
        <v>7</v>
      </c>
      <c r="E48" s="180">
        <f>Picks!D48</f>
        <v>3.9</v>
      </c>
      <c r="F48" s="179">
        <f>IF(C48="","",INDEX(Odds!K:K,MATCH(C48,Odds!G:G,0)))</f>
        <v>1</v>
      </c>
      <c r="G48" s="179">
        <f>IF(C48="","",Picks!M48)</f>
        <v>0</v>
      </c>
      <c r="H48" s="180">
        <f t="shared" si="42"/>
        <v>0</v>
      </c>
      <c r="I48" s="186"/>
      <c r="X48" s="180">
        <f t="shared" si="43"/>
        <v>2.9</v>
      </c>
      <c r="AJ48" s="187"/>
    </row>
    <row r="49" spans="2:36" ht="13.15" thickBot="1">
      <c r="B49" s="181"/>
      <c r="C49" s="181" t="str">
        <f>Picks!B49</f>
        <v>Spurs</v>
      </c>
      <c r="D49" s="182">
        <f>Picks!C49</f>
        <v>7</v>
      </c>
      <c r="E49" s="182">
        <f>Picks!D49</f>
        <v>2.15</v>
      </c>
      <c r="F49" s="181">
        <f>IF(C49="","",INDEX(Odds!K:K,MATCH(C49,Odds!G:G,0)))</f>
        <v>1</v>
      </c>
      <c r="G49" s="181">
        <f>IF(C49="","",Picks!M49)</f>
        <v>1</v>
      </c>
      <c r="H49" s="182">
        <f t="shared" si="42"/>
        <v>1.1499999999999999</v>
      </c>
      <c r="I49" s="186"/>
      <c r="X49" s="180">
        <f t="shared" si="43"/>
        <v>1.1499999999999999</v>
      </c>
      <c r="AJ49" s="187"/>
    </row>
    <row r="50" spans="2:36">
      <c r="B50" s="180" t="str">
        <f>$V18</f>
        <v>Frank Allen</v>
      </c>
      <c r="C50" s="179" t="str">
        <f>Picks!B50</f>
        <v>Coventry</v>
      </c>
      <c r="D50" s="180">
        <f>Picks!C50</f>
        <v>7</v>
      </c>
      <c r="E50" s="180">
        <f>Picks!D50</f>
        <v>1.7272727272727273</v>
      </c>
      <c r="F50" s="179">
        <f>IF(C50="","",INDEX(Odds!K:K,MATCH(C50,Odds!G:G,0)))</f>
        <v>1</v>
      </c>
      <c r="G50" s="179">
        <f>IF(C50="","",Picks!M50)</f>
        <v>0</v>
      </c>
      <c r="H50" s="180">
        <f t="shared" si="42"/>
        <v>0</v>
      </c>
      <c r="I50" s="186"/>
      <c r="X50" s="180">
        <f t="shared" si="43"/>
        <v>0.72727272727272729</v>
      </c>
      <c r="AJ50" s="187"/>
    </row>
    <row r="51" spans="2:36">
      <c r="B51" s="179"/>
      <c r="C51" s="179" t="str">
        <f>Picks!B51</f>
        <v>Stoke</v>
      </c>
      <c r="D51" s="180">
        <f>Picks!C51</f>
        <v>7</v>
      </c>
      <c r="E51" s="180">
        <f>Picks!D51</f>
        <v>3</v>
      </c>
      <c r="F51" s="179">
        <f>IF(C51="","",INDEX(Odds!K:K,MATCH(C51,Odds!G:G,0)))</f>
        <v>1</v>
      </c>
      <c r="G51" s="179">
        <f>IF(C51="","",Picks!M51)</f>
        <v>1</v>
      </c>
      <c r="H51" s="180">
        <f t="shared" si="42"/>
        <v>2</v>
      </c>
      <c r="I51" s="186"/>
      <c r="X51" s="180">
        <f t="shared" si="43"/>
        <v>2</v>
      </c>
    </row>
    <row r="52" spans="2:36" ht="13.15" thickBot="1">
      <c r="B52" s="181"/>
      <c r="C52" s="181" t="str">
        <f>Picks!B52</f>
        <v>Barnsley</v>
      </c>
      <c r="D52" s="182">
        <f>Picks!C52</f>
        <v>7</v>
      </c>
      <c r="E52" s="182">
        <f>Picks!D52</f>
        <v>1.85</v>
      </c>
      <c r="F52" s="181">
        <f>IF(C52="","",INDEX(Odds!K:K,MATCH(C52,Odds!G:G,0)))</f>
        <v>1</v>
      </c>
      <c r="G52" s="181">
        <f>IF(C52="","",Picks!M52)</f>
        <v>1</v>
      </c>
      <c r="H52" s="182">
        <f t="shared" si="42"/>
        <v>0.85000000000000009</v>
      </c>
      <c r="I52" s="186"/>
      <c r="X52" s="180">
        <f t="shared" si="43"/>
        <v>0.85000000000000009</v>
      </c>
    </row>
    <row r="53" spans="2:36">
      <c r="B53" s="180" t="str">
        <f>$V19</f>
        <v>Gareth Powell</v>
      </c>
      <c r="C53" s="179" t="str">
        <f>Picks!B53</f>
        <v>Everton</v>
      </c>
      <c r="D53" s="180">
        <f>Picks!C53</f>
        <v>7</v>
      </c>
      <c r="E53" s="180">
        <f>Picks!D53</f>
        <v>2.4500000000000002</v>
      </c>
      <c r="F53" s="179">
        <f>IF(C53="","",INDEX(Odds!K:K,MATCH(C53,Odds!G:G,0)))</f>
        <v>1</v>
      </c>
      <c r="G53" s="179">
        <f>IF(C53="","",Picks!M53)</f>
        <v>0</v>
      </c>
      <c r="H53" s="180">
        <f t="shared" si="42"/>
        <v>0</v>
      </c>
      <c r="I53" s="186"/>
      <c r="X53" s="180">
        <f t="shared" si="43"/>
        <v>1.4500000000000002</v>
      </c>
    </row>
    <row r="54" spans="2:36">
      <c r="B54" s="179"/>
      <c r="C54" s="179" t="str">
        <f>Picks!B54</f>
        <v>Spurs</v>
      </c>
      <c r="D54" s="180">
        <f>Picks!C54</f>
        <v>7</v>
      </c>
      <c r="E54" s="180">
        <f>Picks!D54</f>
        <v>2.15</v>
      </c>
      <c r="F54" s="179">
        <f>IF(C54="","",INDEX(Odds!K:K,MATCH(C54,Odds!G:G,0)))</f>
        <v>1</v>
      </c>
      <c r="G54" s="179">
        <f>IF(C54="","",Picks!M54)</f>
        <v>1</v>
      </c>
      <c r="H54" s="180">
        <f t="shared" si="42"/>
        <v>1.1499999999999999</v>
      </c>
      <c r="I54" s="186"/>
      <c r="X54" s="180">
        <f t="shared" si="43"/>
        <v>1.1499999999999999</v>
      </c>
    </row>
    <row r="55" spans="2:36" ht="13.15" thickBot="1">
      <c r="B55" s="181"/>
      <c r="C55" s="181" t="str">
        <f>Picks!B55</f>
        <v>Cardiff</v>
      </c>
      <c r="D55" s="182">
        <f>Picks!C55</f>
        <v>7</v>
      </c>
      <c r="E55" s="182">
        <f>Picks!D55</f>
        <v>2.5</v>
      </c>
      <c r="F55" s="181">
        <f>IF(C55="","",INDEX(Odds!K:K,MATCH(C55,Odds!G:G,0)))</f>
        <v>1</v>
      </c>
      <c r="G55" s="181">
        <f>IF(C55="","",Picks!M55)</f>
        <v>0</v>
      </c>
      <c r="H55" s="182">
        <f t="shared" si="42"/>
        <v>0</v>
      </c>
      <c r="I55" s="186"/>
      <c r="X55" s="180">
        <f t="shared" si="43"/>
        <v>1.5</v>
      </c>
    </row>
    <row r="56" spans="2:36">
      <c r="B56" s="180" t="str">
        <f>$V20</f>
        <v>Gerard Ventom</v>
      </c>
      <c r="C56" s="179" t="str">
        <f>Picks!B56</f>
        <v>Bournemouth draw</v>
      </c>
      <c r="D56" s="180">
        <f>Picks!C56</f>
        <v>7</v>
      </c>
      <c r="E56" s="180">
        <f>Picks!D56</f>
        <v>3.5</v>
      </c>
      <c r="F56" s="179">
        <f>IF(C56="","",INDEX(Odds!K:K,MATCH(C56,Odds!G:G,0)))</f>
        <v>1</v>
      </c>
      <c r="G56" s="179">
        <f>IF(C56="","",Picks!M56)</f>
        <v>0</v>
      </c>
      <c r="H56" s="180">
        <f t="shared" si="42"/>
        <v>0</v>
      </c>
      <c r="I56" s="186"/>
      <c r="X56" s="180">
        <f t="shared" si="43"/>
        <v>2.5</v>
      </c>
    </row>
    <row r="57" spans="2:36">
      <c r="B57" s="179"/>
      <c r="C57" s="179" t="str">
        <f>Picks!B57</f>
        <v>Preston draw</v>
      </c>
      <c r="D57" s="180">
        <f>Picks!C57</f>
        <v>7</v>
      </c>
      <c r="E57" s="180">
        <f>Picks!D57</f>
        <v>3.2</v>
      </c>
      <c r="F57" s="179">
        <f>IF(C57="","",INDEX(Odds!K:K,MATCH(C57,Odds!G:G,0)))</f>
        <v>1</v>
      </c>
      <c r="G57" s="179">
        <f>IF(C57="","",Picks!M57)</f>
        <v>1</v>
      </c>
      <c r="H57" s="180">
        <f t="shared" si="42"/>
        <v>2.2000000000000002</v>
      </c>
      <c r="I57" s="186"/>
      <c r="X57" s="180">
        <f t="shared" si="43"/>
        <v>2.2000000000000002</v>
      </c>
    </row>
    <row r="58" spans="2:36" ht="13.15" thickBot="1">
      <c r="B58" s="181"/>
      <c r="C58" s="181" t="str">
        <f>Picks!B58</f>
        <v>Wigan</v>
      </c>
      <c r="D58" s="182">
        <f>Picks!C58</f>
        <v>7</v>
      </c>
      <c r="E58" s="182">
        <f>Picks!D58</f>
        <v>2.6</v>
      </c>
      <c r="F58" s="181">
        <f>IF(C58="","",INDEX(Odds!K:K,MATCH(C58,Odds!G:G,0)))</f>
        <v>1</v>
      </c>
      <c r="G58" s="181">
        <f>IF(C58="","",Picks!M58)</f>
        <v>1</v>
      </c>
      <c r="H58" s="182">
        <f t="shared" si="42"/>
        <v>1.6</v>
      </c>
      <c r="I58" s="186"/>
      <c r="X58" s="180">
        <f t="shared" si="43"/>
        <v>1.6</v>
      </c>
    </row>
    <row r="59" spans="2:36">
      <c r="B59" s="180" t="str">
        <f>$V21</f>
        <v>Graham Miller</v>
      </c>
      <c r="C59" s="179" t="str">
        <f>Picks!B59</f>
        <v>Leeds</v>
      </c>
      <c r="D59" s="180">
        <f>Picks!C59</f>
        <v>7</v>
      </c>
      <c r="E59" s="180">
        <f>Picks!D59</f>
        <v>3.9</v>
      </c>
      <c r="F59" s="179">
        <f>IF(C59="","",INDEX(Odds!K:K,MATCH(C59,Odds!G:G,0)))</f>
        <v>1</v>
      </c>
      <c r="G59" s="179">
        <f>IF(C59="","",Picks!M59)</f>
        <v>0</v>
      </c>
      <c r="H59" s="180">
        <f t="shared" si="42"/>
        <v>0</v>
      </c>
      <c r="I59" s="186"/>
      <c r="X59" s="180">
        <f t="shared" si="43"/>
        <v>2.9</v>
      </c>
    </row>
    <row r="60" spans="2:36">
      <c r="B60" s="179"/>
      <c r="C60" s="179" t="str">
        <f>Picks!B60</f>
        <v>Wolves</v>
      </c>
      <c r="D60" s="180">
        <f>Picks!C60</f>
        <v>7</v>
      </c>
      <c r="E60" s="180">
        <f>Picks!D60</f>
        <v>6.5</v>
      </c>
      <c r="F60" s="179">
        <f>IF(C60="","",INDEX(Odds!K:K,MATCH(C60,Odds!G:G,0)))</f>
        <v>1</v>
      </c>
      <c r="G60" s="179">
        <f>IF(C60="","",Picks!M60)</f>
        <v>0</v>
      </c>
      <c r="H60" s="180">
        <f t="shared" si="42"/>
        <v>0</v>
      </c>
      <c r="I60" s="186"/>
      <c r="X60" s="180">
        <f t="shared" si="43"/>
        <v>5.5</v>
      </c>
    </row>
    <row r="61" spans="2:36" ht="13.15" thickBot="1">
      <c r="B61" s="181"/>
      <c r="C61" s="181" t="str">
        <f>Picks!B61</f>
        <v>Man U</v>
      </c>
      <c r="D61" s="182">
        <f>Picks!C61</f>
        <v>1</v>
      </c>
      <c r="E61" s="182">
        <f>Picks!D61</f>
        <v>4.5999999999999996</v>
      </c>
      <c r="F61" s="181">
        <f>IF(C61="","",INDEX(Odds!K:K,MATCH(C61,Odds!G:G,0)))</f>
        <v>1</v>
      </c>
      <c r="G61" s="181">
        <f>IF(C61="","",Picks!M61)</f>
        <v>0</v>
      </c>
      <c r="H61" s="182">
        <f t="shared" si="42"/>
        <v>0</v>
      </c>
      <c r="I61" s="186"/>
      <c r="X61" s="180">
        <f t="shared" si="43"/>
        <v>3.5999999999999996</v>
      </c>
    </row>
    <row r="62" spans="2:36">
      <c r="B62" s="180" t="str">
        <f>$V22</f>
        <v>Howard Bradley</v>
      </c>
      <c r="C62" s="179" t="str">
        <f>Picks!B62</f>
        <v>West Brom</v>
      </c>
      <c r="D62" s="180">
        <f>Picks!C62</f>
        <v>7</v>
      </c>
      <c r="E62" s="180">
        <f>Picks!D62</f>
        <v>1.8</v>
      </c>
      <c r="F62" s="179">
        <f>IF(C62="","",INDEX(Odds!K:K,MATCH(C62,Odds!G:G,0)))</f>
        <v>1</v>
      </c>
      <c r="G62" s="179">
        <f>IF(C62="","",Picks!M62)</f>
        <v>0</v>
      </c>
      <c r="H62" s="180">
        <f t="shared" si="42"/>
        <v>0</v>
      </c>
      <c r="I62" s="186"/>
      <c r="X62" s="180">
        <f t="shared" si="43"/>
        <v>0.8</v>
      </c>
    </row>
    <row r="63" spans="2:36">
      <c r="B63" s="179"/>
      <c r="C63" s="179" t="str">
        <f>Picks!B63</f>
        <v>Wrexham</v>
      </c>
      <c r="D63" s="180">
        <f>Picks!C63</f>
        <v>7</v>
      </c>
      <c r="E63" s="180">
        <f>Picks!D63</f>
        <v>1.85</v>
      </c>
      <c r="F63" s="179">
        <f>IF(C63="","",INDEX(Odds!K:K,MATCH(C63,Odds!G:G,0)))</f>
        <v>1</v>
      </c>
      <c r="G63" s="179">
        <f>IF(C63="","",Picks!M63)</f>
        <v>0</v>
      </c>
      <c r="H63" s="180">
        <f t="shared" si="42"/>
        <v>0</v>
      </c>
      <c r="I63" s="186"/>
      <c r="X63" s="180">
        <f t="shared" si="43"/>
        <v>0.85000000000000009</v>
      </c>
    </row>
    <row r="64" spans="2:36" ht="13.15" thickBot="1">
      <c r="B64" s="181"/>
      <c r="C64" s="181" t="str">
        <f>Picks!B64</f>
        <v>Blackpool</v>
      </c>
      <c r="D64" s="182">
        <f>Picks!C64</f>
        <v>7</v>
      </c>
      <c r="E64" s="182">
        <f>Picks!D64</f>
        <v>2.625</v>
      </c>
      <c r="F64" s="181">
        <f>IF(C64="","",INDEX(Odds!K:K,MATCH(C64,Odds!G:G,0)))</f>
        <v>1</v>
      </c>
      <c r="G64" s="181">
        <f>IF(C64="","",Picks!M64)</f>
        <v>0</v>
      </c>
      <c r="H64" s="182">
        <f t="shared" si="42"/>
        <v>0</v>
      </c>
      <c r="I64" s="186"/>
      <c r="X64" s="180">
        <f t="shared" si="43"/>
        <v>1.625</v>
      </c>
    </row>
    <row r="65" spans="2:24">
      <c r="B65" s="180" t="str">
        <f>$V23</f>
        <v>Jack Walsh</v>
      </c>
      <c r="C65" s="179" t="str">
        <f>Picks!B65</f>
        <v>Palace</v>
      </c>
      <c r="D65" s="180">
        <f>Picks!C65</f>
        <v>7</v>
      </c>
      <c r="E65" s="180">
        <f>Picks!D65</f>
        <v>1.6153846153846154</v>
      </c>
      <c r="F65" s="179">
        <f>IF(C65="","",INDEX(Odds!K:K,MATCH(C65,Odds!G:G,0)))</f>
        <v>1</v>
      </c>
      <c r="G65" s="179">
        <f>IF(C65="","",Picks!M65)</f>
        <v>0</v>
      </c>
      <c r="H65" s="180">
        <f t="shared" si="42"/>
        <v>0</v>
      </c>
      <c r="I65" s="186"/>
      <c r="X65" s="180">
        <f t="shared" si="43"/>
        <v>0.61538461538461542</v>
      </c>
    </row>
    <row r="66" spans="2:24">
      <c r="B66" s="179"/>
      <c r="C66" s="179" t="str">
        <f>Picks!B66</f>
        <v>Everton</v>
      </c>
      <c r="D66" s="180">
        <f>Picks!C66</f>
        <v>7</v>
      </c>
      <c r="E66" s="180">
        <f>Picks!D66</f>
        <v>2.4500000000000002</v>
      </c>
      <c r="F66" s="179">
        <f>IF(C66="","",INDEX(Odds!K:K,MATCH(C66,Odds!G:G,0)))</f>
        <v>1</v>
      </c>
      <c r="G66" s="179">
        <f>IF(C66="","",Picks!M66)</f>
        <v>0</v>
      </c>
      <c r="H66" s="180">
        <f t="shared" ref="H66:H94" si="77">IF(C66="","",+((E66-1)*G66*F66*A$2))</f>
        <v>0</v>
      </c>
      <c r="I66" s="186"/>
      <c r="X66" s="180">
        <f t="shared" ref="X66:X76" si="78">+((E66-1)*F66*A$2)</f>
        <v>1.4500000000000002</v>
      </c>
    </row>
    <row r="67" spans="2:24" ht="13.15" thickBot="1">
      <c r="B67" s="181"/>
      <c r="C67" s="181" t="str">
        <f>Picks!B67</f>
        <v>Liverpool</v>
      </c>
      <c r="D67" s="182">
        <f>Picks!C67</f>
        <v>1</v>
      </c>
      <c r="E67" s="182">
        <f>Picks!D67</f>
        <v>1.3</v>
      </c>
      <c r="F67" s="181">
        <f>IF(C67="","",INDEX(Odds!K:K,MATCH(C67,Odds!G:G,0)))</f>
        <v>1</v>
      </c>
      <c r="G67" s="181">
        <f>IF(C67="","",Picks!M67)</f>
        <v>1</v>
      </c>
      <c r="H67" s="182">
        <f t="shared" si="77"/>
        <v>0.30000000000000004</v>
      </c>
      <c r="I67" s="186"/>
      <c r="X67" s="180">
        <f t="shared" si="78"/>
        <v>0.30000000000000004</v>
      </c>
    </row>
    <row r="68" spans="2:24">
      <c r="B68" s="180" t="str">
        <f>$V24</f>
        <v>Julie Dodd</v>
      </c>
      <c r="C68" s="179" t="str">
        <f>Picks!B68</f>
        <v>Wimbledon</v>
      </c>
      <c r="D68" s="180">
        <f>Picks!C68</f>
        <v>7</v>
      </c>
      <c r="E68" s="180">
        <f>Picks!D68</f>
        <v>2.15</v>
      </c>
      <c r="F68" s="179">
        <f>IF(C68="","",INDEX(Odds!K:K,MATCH(C68,Odds!G:G,0)))</f>
        <v>1</v>
      </c>
      <c r="G68" s="179">
        <f>IF(C68="","",Picks!M68)</f>
        <v>1</v>
      </c>
      <c r="H68" s="180">
        <f t="shared" si="77"/>
        <v>1.1499999999999999</v>
      </c>
      <c r="I68" s="186"/>
      <c r="X68" s="180">
        <f t="shared" si="78"/>
        <v>1.1499999999999999</v>
      </c>
    </row>
    <row r="69" spans="2:24">
      <c r="B69" s="179"/>
      <c r="C69" s="179" t="str">
        <f>Picks!B69</f>
        <v>Luton</v>
      </c>
      <c r="D69" s="180">
        <f>Picks!C69</f>
        <v>7</v>
      </c>
      <c r="E69" s="180">
        <f>Picks!D69</f>
        <v>1.5</v>
      </c>
      <c r="F69" s="179">
        <f>IF(C69="","",INDEX(Odds!K:K,MATCH(C69,Odds!G:G,0)))</f>
        <v>1</v>
      </c>
      <c r="G69" s="179">
        <f>IF(C69="","",Picks!M69)</f>
        <v>0</v>
      </c>
      <c r="H69" s="180">
        <f t="shared" si="77"/>
        <v>0</v>
      </c>
      <c r="I69" s="186"/>
      <c r="X69" s="180">
        <f t="shared" si="78"/>
        <v>0.5</v>
      </c>
    </row>
    <row r="70" spans="2:24" ht="13.15" thickBot="1">
      <c r="B70" s="181"/>
      <c r="C70" s="181" t="str">
        <f>Picks!B70</f>
        <v>Liverpool</v>
      </c>
      <c r="D70" s="182">
        <f>Picks!C70</f>
        <v>1</v>
      </c>
      <c r="E70" s="182">
        <f>Picks!D70</f>
        <v>1.3</v>
      </c>
      <c r="F70" s="181">
        <f>IF(C70="","",INDEX(Odds!K:K,MATCH(C70,Odds!G:G,0)))</f>
        <v>1</v>
      </c>
      <c r="G70" s="181">
        <f>IF(C70="","",Picks!M70)</f>
        <v>1</v>
      </c>
      <c r="H70" s="182">
        <f t="shared" si="77"/>
        <v>0.30000000000000004</v>
      </c>
      <c r="I70" s="186"/>
      <c r="X70" s="180">
        <f t="shared" si="78"/>
        <v>0.30000000000000004</v>
      </c>
    </row>
    <row r="71" spans="2:24">
      <c r="B71" s="180" t="str">
        <f>$V25</f>
        <v>Kevin Carter</v>
      </c>
      <c r="C71" s="179" t="str">
        <f>Picks!B71</f>
        <v>West Brom</v>
      </c>
      <c r="D71" s="180">
        <f>Picks!C71</f>
        <v>7</v>
      </c>
      <c r="E71" s="180">
        <f>Picks!D71</f>
        <v>1.8</v>
      </c>
      <c r="F71" s="179">
        <f>IF(C71="","",INDEX(Odds!K:K,MATCH(C71,Odds!G:G,0)))</f>
        <v>1</v>
      </c>
      <c r="G71" s="179">
        <f>IF(C71="","",Picks!M71)</f>
        <v>0</v>
      </c>
      <c r="H71" s="180">
        <f t="shared" si="77"/>
        <v>0</v>
      </c>
      <c r="I71" s="186"/>
      <c r="X71" s="180">
        <f t="shared" si="78"/>
        <v>0.8</v>
      </c>
    </row>
    <row r="72" spans="2:24">
      <c r="B72" s="179"/>
      <c r="C72" s="179" t="str">
        <f>Picks!B72</f>
        <v>Leicester</v>
      </c>
      <c r="D72" s="180">
        <f>Picks!C72</f>
        <v>7</v>
      </c>
      <c r="E72" s="180">
        <f>Picks!D72</f>
        <v>1.9090909090909092</v>
      </c>
      <c r="F72" s="179">
        <f>IF(C72="","",INDEX(Odds!K:K,MATCH(C72,Odds!G:G,0)))</f>
        <v>1</v>
      </c>
      <c r="G72" s="179">
        <f>IF(C72="","",Picks!M72)</f>
        <v>0</v>
      </c>
      <c r="H72" s="180">
        <f t="shared" si="77"/>
        <v>0</v>
      </c>
      <c r="I72" s="186"/>
      <c r="X72" s="180">
        <f t="shared" si="78"/>
        <v>0.90909090909090917</v>
      </c>
    </row>
    <row r="73" spans="2:24" ht="13.15" thickBot="1">
      <c r="B73" s="181"/>
      <c r="C73" s="181" t="str">
        <f>Picks!B73</f>
        <v>Everton</v>
      </c>
      <c r="D73" s="182">
        <f>Picks!C73</f>
        <v>7</v>
      </c>
      <c r="E73" s="182">
        <f>Picks!D73</f>
        <v>2.4500000000000002</v>
      </c>
      <c r="F73" s="181">
        <f>IF(C73="","",INDEX(Odds!K:K,MATCH(C73,Odds!G:G,0)))</f>
        <v>1</v>
      </c>
      <c r="G73" s="181">
        <f>IF(C73="","",Picks!M73)</f>
        <v>0</v>
      </c>
      <c r="H73" s="182">
        <f t="shared" si="77"/>
        <v>0</v>
      </c>
      <c r="I73" s="186"/>
      <c r="X73" s="180">
        <f t="shared" si="78"/>
        <v>1.4500000000000002</v>
      </c>
    </row>
    <row r="74" spans="2:24">
      <c r="B74" s="179" t="str">
        <f>$V26</f>
        <v>Lennie Bow</v>
      </c>
      <c r="C74" s="179" t="str">
        <f>Picks!B74</f>
        <v>Coventry</v>
      </c>
      <c r="D74" s="180">
        <f>Picks!C74</f>
        <v>7</v>
      </c>
      <c r="E74" s="180">
        <f>Picks!D74</f>
        <v>1.7272727272727273</v>
      </c>
      <c r="F74" s="179">
        <f>IF(C74="","",INDEX(Odds!K:K,MATCH(C74,Odds!G:G,0)))</f>
        <v>1</v>
      </c>
      <c r="G74" s="179">
        <f>IF(C74="","",Picks!M74)</f>
        <v>0</v>
      </c>
      <c r="H74" s="180">
        <f t="shared" si="77"/>
        <v>0</v>
      </c>
      <c r="I74" s="186"/>
      <c r="X74" s="180">
        <f t="shared" si="78"/>
        <v>0.72727272727272729</v>
      </c>
    </row>
    <row r="75" spans="2:24">
      <c r="B75" s="179"/>
      <c r="C75" s="179" t="str">
        <f>Picks!B75</f>
        <v>West Brom</v>
      </c>
      <c r="D75" s="180">
        <f>Picks!C75</f>
        <v>7</v>
      </c>
      <c r="E75" s="180">
        <f>Picks!D75</f>
        <v>1.8</v>
      </c>
      <c r="F75" s="179">
        <f>IF(C75="","",INDEX(Odds!K:K,MATCH(C75,Odds!G:G,0)))</f>
        <v>1</v>
      </c>
      <c r="G75" s="179">
        <f>IF(C75="","",Picks!M75)</f>
        <v>0</v>
      </c>
      <c r="H75" s="180">
        <f t="shared" si="77"/>
        <v>0</v>
      </c>
      <c r="I75" s="186"/>
      <c r="X75" s="180">
        <f t="shared" si="78"/>
        <v>0.8</v>
      </c>
    </row>
    <row r="76" spans="2:24" ht="13.15" thickBot="1">
      <c r="B76" s="181"/>
      <c r="C76" s="181" t="str">
        <f>Picks!B76</f>
        <v>Luton</v>
      </c>
      <c r="D76" s="182">
        <f>Picks!C76</f>
        <v>7</v>
      </c>
      <c r="E76" s="182">
        <f>Picks!D76</f>
        <v>1.5</v>
      </c>
      <c r="F76" s="181">
        <f>IF(C76="","",INDEX(Odds!K:K,MATCH(C76,Odds!G:G,0)))</f>
        <v>1</v>
      </c>
      <c r="G76" s="181">
        <f>IF(C76="","",Picks!M76)</f>
        <v>0</v>
      </c>
      <c r="H76" s="182">
        <f t="shared" si="77"/>
        <v>0</v>
      </c>
      <c r="I76" s="186"/>
      <c r="X76" s="180">
        <f t="shared" si="78"/>
        <v>0.5</v>
      </c>
    </row>
    <row r="77" spans="2:24">
      <c r="B77" s="180" t="str">
        <f>$V27</f>
        <v>Mark Bunn</v>
      </c>
      <c r="C77" s="179" t="str">
        <f>Picks!B77</f>
        <v>Bristol C</v>
      </c>
      <c r="D77" s="180">
        <f>Picks!C77</f>
        <v>7</v>
      </c>
      <c r="E77" s="180">
        <f>Picks!D77</f>
        <v>2.1</v>
      </c>
      <c r="F77" s="179">
        <f>IF(C77="","",INDEX(Odds!K:K,MATCH(C77,Odds!G:G,0)))</f>
        <v>1</v>
      </c>
      <c r="G77" s="179">
        <f>IF(C77="","",Picks!M77)</f>
        <v>1</v>
      </c>
      <c r="H77" s="180">
        <f t="shared" si="77"/>
        <v>1.1000000000000001</v>
      </c>
      <c r="I77" s="186"/>
      <c r="X77" s="180">
        <f t="shared" ref="X77:X108" si="79">+((E77-1)*F77*A$2)</f>
        <v>1.1000000000000001</v>
      </c>
    </row>
    <row r="78" spans="2:24">
      <c r="B78" s="179"/>
      <c r="C78" s="179" t="str">
        <f>Picks!B78</f>
        <v>Lincoln</v>
      </c>
      <c r="D78" s="180">
        <f>Picks!C78</f>
        <v>7</v>
      </c>
      <c r="E78" s="180">
        <f>Picks!D78</f>
        <v>2.4</v>
      </c>
      <c r="F78" s="179">
        <f>IF(C78="","",INDEX(Odds!K:K,MATCH(C78,Odds!G:G,0)))</f>
        <v>1</v>
      </c>
      <c r="G78" s="179">
        <f>IF(C78="","",Picks!M78)</f>
        <v>1</v>
      </c>
      <c r="H78" s="180">
        <f t="shared" si="77"/>
        <v>1.4</v>
      </c>
      <c r="I78" s="186"/>
      <c r="X78" s="180">
        <f t="shared" si="79"/>
        <v>1.4</v>
      </c>
    </row>
    <row r="79" spans="2:24" ht="13.15" thickBot="1">
      <c r="B79" s="181"/>
      <c r="C79" s="181" t="str">
        <f>Picks!B79</f>
        <v>Doncaster</v>
      </c>
      <c r="D79" s="182">
        <f>Picks!C79</f>
        <v>7</v>
      </c>
      <c r="E79" s="182">
        <f>Picks!D79</f>
        <v>2.75</v>
      </c>
      <c r="F79" s="181">
        <f>IF(C79="","",INDEX(Odds!K:K,MATCH(C79,Odds!G:G,0)))</f>
        <v>1</v>
      </c>
      <c r="G79" s="181">
        <f>IF(C79="","",Picks!M79)</f>
        <v>0</v>
      </c>
      <c r="H79" s="182">
        <f t="shared" si="77"/>
        <v>0</v>
      </c>
      <c r="I79" s="186"/>
      <c r="X79" s="180">
        <f t="shared" si="79"/>
        <v>1.75</v>
      </c>
    </row>
    <row r="80" spans="2:24">
      <c r="B80" s="180" t="str">
        <f>$V28</f>
        <v>Mark Saunders</v>
      </c>
      <c r="C80" s="179" t="str">
        <f>Picks!B80</f>
        <v>Fulham draw</v>
      </c>
      <c r="D80" s="180">
        <f>Picks!C80</f>
        <v>7</v>
      </c>
      <c r="E80" s="180">
        <f>Picks!D80</f>
        <v>3.6</v>
      </c>
      <c r="F80" s="179">
        <f>IF(C80="","",INDEX(Odds!K:K,MATCH(C80,Odds!G:G,0)))</f>
        <v>1</v>
      </c>
      <c r="G80" s="179">
        <f>IF(C80="","",Picks!M80)</f>
        <v>0</v>
      </c>
      <c r="H80" s="180">
        <f t="shared" si="77"/>
        <v>0</v>
      </c>
      <c r="I80" s="186"/>
      <c r="X80" s="180">
        <f t="shared" si="79"/>
        <v>2.6</v>
      </c>
    </row>
    <row r="81" spans="2:24">
      <c r="B81" s="179"/>
      <c r="C81" s="179" t="str">
        <f>Picks!B81</f>
        <v>West Ham draw</v>
      </c>
      <c r="D81" s="180">
        <f>Picks!C81</f>
        <v>7</v>
      </c>
      <c r="E81" s="180">
        <f>Picks!D81</f>
        <v>3.4</v>
      </c>
      <c r="F81" s="179">
        <f>IF(C81="","",INDEX(Odds!K:K,MATCH(C81,Odds!G:G,0)))</f>
        <v>1</v>
      </c>
      <c r="G81" s="179">
        <f>IF(C81="","",Picks!M81)</f>
        <v>0</v>
      </c>
      <c r="H81" s="180">
        <f t="shared" si="77"/>
        <v>0</v>
      </c>
      <c r="I81" s="186"/>
      <c r="X81" s="180">
        <f t="shared" si="79"/>
        <v>2.4</v>
      </c>
    </row>
    <row r="82" spans="2:24" ht="13.15" thickBot="1">
      <c r="B82" s="181"/>
      <c r="C82" s="181" t="str">
        <f>Picks!B82</f>
        <v>Leicester</v>
      </c>
      <c r="D82" s="182">
        <f>Picks!C82</f>
        <v>7</v>
      </c>
      <c r="E82" s="182">
        <f>Picks!D82</f>
        <v>1.9090909090909092</v>
      </c>
      <c r="F82" s="181">
        <f>IF(C82="","",INDEX(Odds!K:K,MATCH(C82,Odds!G:G,0)))</f>
        <v>1</v>
      </c>
      <c r="G82" s="181">
        <f>IF(C82="","",Picks!M82)</f>
        <v>0</v>
      </c>
      <c r="H82" s="182">
        <f t="shared" si="77"/>
        <v>0</v>
      </c>
      <c r="I82" s="186"/>
      <c r="X82" s="180">
        <f t="shared" si="79"/>
        <v>0.90909090909090917</v>
      </c>
    </row>
    <row r="83" spans="2:24">
      <c r="B83" s="180" t="str">
        <f>$V29</f>
        <v>Martin Molyneux</v>
      </c>
      <c r="C83" s="179" t="str">
        <f>Picks!B83</f>
        <v>Everton</v>
      </c>
      <c r="D83" s="180">
        <f>Picks!C83</f>
        <v>7</v>
      </c>
      <c r="E83" s="180">
        <f>Picks!D83</f>
        <v>2.4500000000000002</v>
      </c>
      <c r="F83" s="179">
        <f>IF(C83="","",INDEX(Odds!K:K,MATCH(C83,Odds!G:G,0)))</f>
        <v>1</v>
      </c>
      <c r="G83" s="179">
        <f>IF(C83="","",Picks!M83)</f>
        <v>0</v>
      </c>
      <c r="H83" s="180">
        <f t="shared" si="77"/>
        <v>0</v>
      </c>
      <c r="I83" s="186"/>
      <c r="X83" s="180">
        <f t="shared" si="79"/>
        <v>1.4500000000000002</v>
      </c>
    </row>
    <row r="84" spans="2:24">
      <c r="B84" s="179"/>
      <c r="C84" s="179" t="str">
        <f>Picks!B84</f>
        <v>Fulham</v>
      </c>
      <c r="D84" s="180">
        <f>Picks!C84</f>
        <v>7</v>
      </c>
      <c r="E84" s="180">
        <f>Picks!D84</f>
        <v>1.9090909090909092</v>
      </c>
      <c r="F84" s="179">
        <f>IF(C84="","",INDEX(Odds!K:K,MATCH(C84,Odds!G:G,0)))</f>
        <v>1</v>
      </c>
      <c r="G84" s="179">
        <f>IF(C84="","",Picks!M84)</f>
        <v>1</v>
      </c>
      <c r="H84" s="180">
        <f t="shared" si="77"/>
        <v>0.90909090909090917</v>
      </c>
      <c r="I84" s="186"/>
      <c r="X84" s="180">
        <f t="shared" si="79"/>
        <v>0.90909090909090917</v>
      </c>
    </row>
    <row r="85" spans="2:24" ht="13.15" thickBot="1">
      <c r="B85" s="181"/>
      <c r="C85" s="181" t="str">
        <f>Picks!B85</f>
        <v>Spurs</v>
      </c>
      <c r="D85" s="182">
        <f>Picks!C85</f>
        <v>7</v>
      </c>
      <c r="E85" s="182">
        <f>Picks!D85</f>
        <v>2.15</v>
      </c>
      <c r="F85" s="181">
        <f>IF(C85="","",INDEX(Odds!K:K,MATCH(C85,Odds!G:G,0)))</f>
        <v>1</v>
      </c>
      <c r="G85" s="181">
        <f>IF(C85="","",Picks!M85)</f>
        <v>1</v>
      </c>
      <c r="H85" s="182">
        <f t="shared" si="77"/>
        <v>1.1499999999999999</v>
      </c>
      <c r="I85" s="186"/>
      <c r="X85" s="180">
        <f t="shared" si="79"/>
        <v>1.1499999999999999</v>
      </c>
    </row>
    <row r="86" spans="2:24">
      <c r="B86" s="180" t="str">
        <f>$V30</f>
        <v>Martin Tarbuck</v>
      </c>
      <c r="C86" s="179" t="str">
        <f>Picks!B86</f>
        <v>Arsenal</v>
      </c>
      <c r="D86" s="180">
        <f>Picks!C86</f>
        <v>7</v>
      </c>
      <c r="E86" s="180">
        <f>Picks!D86</f>
        <v>1.4</v>
      </c>
      <c r="F86" s="179">
        <f>IF(C86="","",INDEX(Odds!K:K,MATCH(C86,Odds!G:G,0)))</f>
        <v>1</v>
      </c>
      <c r="G86" s="179">
        <f>IF(C86="","",Picks!M86)</f>
        <v>1</v>
      </c>
      <c r="H86" s="180">
        <f t="shared" si="77"/>
        <v>0.39999999999999991</v>
      </c>
      <c r="I86" s="186"/>
      <c r="X86" s="180">
        <f t="shared" si="79"/>
        <v>0.39999999999999991</v>
      </c>
    </row>
    <row r="87" spans="2:24">
      <c r="B87" s="179"/>
      <c r="C87" s="179" t="str">
        <f>Picks!B87</f>
        <v>Bristol C</v>
      </c>
      <c r="D87" s="180">
        <f>Picks!C87</f>
        <v>7</v>
      </c>
      <c r="E87" s="180">
        <f>Picks!D87</f>
        <v>2.1</v>
      </c>
      <c r="F87" s="179">
        <f>IF(C87="","",INDEX(Odds!K:K,MATCH(C87,Odds!G:G,0)))</f>
        <v>1</v>
      </c>
      <c r="G87" s="179">
        <f>IF(C87="","",Picks!M87)</f>
        <v>1</v>
      </c>
      <c r="H87" s="180">
        <f t="shared" si="77"/>
        <v>1.1000000000000001</v>
      </c>
      <c r="I87" s="186"/>
      <c r="X87" s="180">
        <f t="shared" si="79"/>
        <v>1.1000000000000001</v>
      </c>
    </row>
    <row r="88" spans="2:24" ht="13.15" thickBot="1">
      <c r="B88" s="181"/>
      <c r="C88" s="181" t="str">
        <f>Picks!B88</f>
        <v>Liverpool</v>
      </c>
      <c r="D88" s="182">
        <f>Picks!C88</f>
        <v>1</v>
      </c>
      <c r="E88" s="182">
        <f>Picks!D88</f>
        <v>1.3</v>
      </c>
      <c r="F88" s="181">
        <f>IF(C88="","",INDEX(Odds!K:K,MATCH(C88,Odds!G:G,0)))</f>
        <v>1</v>
      </c>
      <c r="G88" s="181">
        <f>IF(C88="","",Picks!M88)</f>
        <v>1</v>
      </c>
      <c r="H88" s="182">
        <f t="shared" si="77"/>
        <v>0.30000000000000004</v>
      </c>
      <c r="I88" s="186"/>
      <c r="X88" s="180">
        <f t="shared" si="79"/>
        <v>0.30000000000000004</v>
      </c>
    </row>
    <row r="89" spans="2:24">
      <c r="B89" s="180" t="str">
        <f>$V31</f>
        <v>Mike Penk</v>
      </c>
      <c r="C89" s="179" t="str">
        <f>Picks!B89</f>
        <v>Cardiff</v>
      </c>
      <c r="D89" s="180">
        <f>Picks!C89</f>
        <v>7</v>
      </c>
      <c r="E89" s="180">
        <f>Picks!D89</f>
        <v>2.5</v>
      </c>
      <c r="F89" s="179">
        <f>IF(C89="","",INDEX(Odds!K:K,MATCH(C89,Odds!G:G,0)))</f>
        <v>1</v>
      </c>
      <c r="G89" s="179">
        <f>IF(C89="","",Picks!M89)</f>
        <v>0</v>
      </c>
      <c r="H89" s="180">
        <f t="shared" si="77"/>
        <v>0</v>
      </c>
      <c r="I89" s="186"/>
      <c r="X89" s="180">
        <f t="shared" si="79"/>
        <v>1.5</v>
      </c>
    </row>
    <row r="90" spans="2:24">
      <c r="B90" s="179"/>
      <c r="C90" s="179" t="str">
        <f>Picks!B90</f>
        <v>Wrexham</v>
      </c>
      <c r="D90" s="180">
        <f>Picks!C90</f>
        <v>7</v>
      </c>
      <c r="E90" s="180">
        <f>Picks!D90</f>
        <v>1.85</v>
      </c>
      <c r="F90" s="179">
        <f>IF(C90="","",INDEX(Odds!K:K,MATCH(C90,Odds!G:G,0)))</f>
        <v>1</v>
      </c>
      <c r="G90" s="179">
        <f>IF(C90="","",Picks!M90)</f>
        <v>0</v>
      </c>
      <c r="H90" s="180">
        <f t="shared" si="77"/>
        <v>0</v>
      </c>
      <c r="I90" s="186"/>
      <c r="X90" s="180">
        <f t="shared" si="79"/>
        <v>0.85000000000000009</v>
      </c>
    </row>
    <row r="91" spans="2:24" ht="13.15" thickBot="1">
      <c r="B91" s="181"/>
      <c r="C91" s="181" t="str">
        <f>Picks!B91</f>
        <v>Barnsley</v>
      </c>
      <c r="D91" s="182">
        <f>Picks!C91</f>
        <v>7</v>
      </c>
      <c r="E91" s="182">
        <f>Picks!D91</f>
        <v>1.85</v>
      </c>
      <c r="F91" s="181">
        <f>IF(C91="","",INDEX(Odds!K:K,MATCH(C91,Odds!G:G,0)))</f>
        <v>1</v>
      </c>
      <c r="G91" s="181">
        <f>IF(C91="","",Picks!M91)</f>
        <v>1</v>
      </c>
      <c r="H91" s="182">
        <f t="shared" si="77"/>
        <v>0.85000000000000009</v>
      </c>
      <c r="I91" s="186"/>
      <c r="X91" s="180">
        <f t="shared" si="79"/>
        <v>0.85000000000000009</v>
      </c>
    </row>
    <row r="92" spans="2:24">
      <c r="B92" s="180" t="str">
        <f>$V32</f>
        <v>Nick Blocksidge</v>
      </c>
      <c r="C92" s="179" t="str">
        <f>Picks!B92</f>
        <v>Bournemouth draw</v>
      </c>
      <c r="D92" s="180">
        <f>Picks!C92</f>
        <v>7</v>
      </c>
      <c r="E92" s="180">
        <f>Picks!D92</f>
        <v>3.5</v>
      </c>
      <c r="F92" s="179">
        <f>IF(C92="","",INDEX(Odds!K:K,MATCH(C92,Odds!G:G,0)))</f>
        <v>1</v>
      </c>
      <c r="G92" s="179">
        <f>IF(C92="","",Picks!M92)</f>
        <v>0</v>
      </c>
      <c r="H92" s="180">
        <f t="shared" si="77"/>
        <v>0</v>
      </c>
      <c r="I92" s="186"/>
      <c r="X92" s="180">
        <f t="shared" si="79"/>
        <v>2.5</v>
      </c>
    </row>
    <row r="93" spans="2:24">
      <c r="B93" s="183"/>
      <c r="C93" s="179" t="str">
        <f>Picks!B93</f>
        <v>Everton</v>
      </c>
      <c r="D93" s="180">
        <f>Picks!C93</f>
        <v>7</v>
      </c>
      <c r="E93" s="180">
        <f>Picks!D93</f>
        <v>2.4500000000000002</v>
      </c>
      <c r="F93" s="179">
        <f>IF(C93="","",INDEX(Odds!K:K,MATCH(C93,Odds!G:G,0)))</f>
        <v>1</v>
      </c>
      <c r="G93" s="179">
        <f>IF(C93="","",Picks!M93)</f>
        <v>0</v>
      </c>
      <c r="H93" s="180">
        <f t="shared" si="77"/>
        <v>0</v>
      </c>
      <c r="I93" s="186"/>
      <c r="X93" s="180">
        <f t="shared" si="79"/>
        <v>1.4500000000000002</v>
      </c>
    </row>
    <row r="94" spans="2:24" ht="13.15" thickBot="1">
      <c r="B94" s="181"/>
      <c r="C94" s="181" t="str">
        <f>Picks!B94</f>
        <v>Newcastle</v>
      </c>
      <c r="D94" s="182">
        <f>Picks!C94</f>
        <v>7</v>
      </c>
      <c r="E94" s="182">
        <f>Picks!D94</f>
        <v>1.4444444444444444</v>
      </c>
      <c r="F94" s="181">
        <f>IF(C94="","",INDEX(Odds!K:K,MATCH(C94,Odds!G:G,0)))</f>
        <v>1</v>
      </c>
      <c r="G94" s="181">
        <f>IF(C94="","",Picks!M94)</f>
        <v>1</v>
      </c>
      <c r="H94" s="182">
        <f t="shared" si="77"/>
        <v>0.44444444444444442</v>
      </c>
      <c r="I94" s="186"/>
      <c r="X94" s="180">
        <f t="shared" si="79"/>
        <v>0.44444444444444442</v>
      </c>
    </row>
    <row r="95" spans="2:24">
      <c r="B95" s="180" t="str">
        <f>$V33</f>
        <v>Nigel Heyes</v>
      </c>
      <c r="C95" s="179" t="str">
        <f>Picks!B95</f>
        <v>Watford</v>
      </c>
      <c r="D95" s="180">
        <f>Picks!C95</f>
        <v>7</v>
      </c>
      <c r="E95" s="180">
        <f>Picks!D95</f>
        <v>2.4500000000000002</v>
      </c>
      <c r="F95" s="179">
        <f>IF(C95="","",INDEX(Odds!K:K,MATCH(C95,Odds!G:G,0)))</f>
        <v>1</v>
      </c>
      <c r="G95" s="179">
        <f>IF(C95="","",Picks!M95)</f>
        <v>0</v>
      </c>
      <c r="H95" s="180">
        <f t="shared" ref="H95:H126" si="80">IF(C95="","",+((E95-1)*G95*F95*A$2))</f>
        <v>0</v>
      </c>
      <c r="I95" s="186"/>
      <c r="X95" s="180">
        <f t="shared" si="79"/>
        <v>1.4500000000000002</v>
      </c>
    </row>
    <row r="96" spans="2:24">
      <c r="B96" s="179"/>
      <c r="C96" s="179" t="str">
        <f>Picks!B96</f>
        <v>Orient</v>
      </c>
      <c r="D96" s="180">
        <f>Picks!C96</f>
        <v>7</v>
      </c>
      <c r="E96" s="180">
        <f>Picks!D96</f>
        <v>2.9</v>
      </c>
      <c r="F96" s="179">
        <f>IF(C96="","",INDEX(Odds!K:K,MATCH(C96,Odds!G:G,0)))</f>
        <v>1</v>
      </c>
      <c r="G96" s="179">
        <f>IF(C96="","",Picks!M96)</f>
        <v>0</v>
      </c>
      <c r="H96" s="180">
        <f t="shared" si="80"/>
        <v>0</v>
      </c>
      <c r="I96" s="186"/>
      <c r="X96" s="180">
        <f t="shared" si="79"/>
        <v>1.9</v>
      </c>
    </row>
    <row r="97" spans="2:24" ht="13.15" thickBot="1">
      <c r="B97" s="181"/>
      <c r="C97" s="181" t="str">
        <f>Picks!B97</f>
        <v>Chesterfield</v>
      </c>
      <c r="D97" s="182">
        <f>Picks!C97</f>
        <v>7</v>
      </c>
      <c r="E97" s="182">
        <f>Picks!D97</f>
        <v>2.15</v>
      </c>
      <c r="F97" s="181">
        <f>IF(C97="","",INDEX(Odds!K:K,MATCH(C97,Odds!G:G,0)))</f>
        <v>1</v>
      </c>
      <c r="G97" s="181">
        <f>IF(C97="","",Picks!M97)</f>
        <v>0</v>
      </c>
      <c r="H97" s="182">
        <f t="shared" si="80"/>
        <v>0</v>
      </c>
      <c r="I97" s="186"/>
      <c r="X97" s="180">
        <f t="shared" si="79"/>
        <v>1.1499999999999999</v>
      </c>
    </row>
    <row r="98" spans="2:24">
      <c r="B98" s="180" t="str">
        <f>$V34</f>
        <v>Paul Adderley</v>
      </c>
      <c r="C98" s="179" t="str">
        <f>Picks!B98</f>
        <v>Liverpool</v>
      </c>
      <c r="D98" s="180">
        <f>Picks!C98</f>
        <v>1</v>
      </c>
      <c r="E98" s="180">
        <f>Picks!D98</f>
        <v>1.3</v>
      </c>
      <c r="F98" s="179">
        <f>IF(C98="","",INDEX(Odds!K:K,MATCH(C98,Odds!G:G,0)))</f>
        <v>1</v>
      </c>
      <c r="G98" s="179">
        <f>IF(C98="","",Picks!M98)</f>
        <v>1</v>
      </c>
      <c r="H98" s="180">
        <f t="shared" si="80"/>
        <v>0.30000000000000004</v>
      </c>
      <c r="I98" s="186"/>
      <c r="X98" s="180">
        <f t="shared" si="79"/>
        <v>0.30000000000000004</v>
      </c>
    </row>
    <row r="99" spans="2:24">
      <c r="B99" s="179"/>
      <c r="C99" s="179" t="str">
        <f>Picks!B99</f>
        <v>Man C</v>
      </c>
      <c r="D99" s="180">
        <f>Picks!C99</f>
        <v>1</v>
      </c>
      <c r="E99" s="180">
        <f>Picks!D99</f>
        <v>1.6666666666666665</v>
      </c>
      <c r="F99" s="179">
        <f>IF(C99="","",INDEX(Odds!K:K,MATCH(C99,Odds!G:G,0)))</f>
        <v>1</v>
      </c>
      <c r="G99" s="179">
        <f>IF(C99="","",Picks!M99)</f>
        <v>1</v>
      </c>
      <c r="H99" s="180">
        <f t="shared" si="80"/>
        <v>0.66666666666666652</v>
      </c>
      <c r="I99" s="186"/>
      <c r="X99" s="180">
        <f t="shared" si="79"/>
        <v>0.66666666666666652</v>
      </c>
    </row>
    <row r="100" spans="2:24" ht="13.15" thickBot="1">
      <c r="B100" s="181"/>
      <c r="C100" s="181" t="str">
        <f>Picks!B100</f>
        <v>Portsmouth</v>
      </c>
      <c r="D100" s="182">
        <f>Picks!C100</f>
        <v>1</v>
      </c>
      <c r="E100" s="182">
        <f>Picks!D100</f>
        <v>4.5999999999999996</v>
      </c>
      <c r="F100" s="181">
        <f>IF(C100="","",INDEX(Odds!K:K,MATCH(C100,Odds!G:G,0)))</f>
        <v>1</v>
      </c>
      <c r="G100" s="181">
        <f>IF(C100="","",Picks!M100)</f>
        <v>0</v>
      </c>
      <c r="H100" s="182">
        <f t="shared" si="80"/>
        <v>0</v>
      </c>
      <c r="I100" s="186"/>
      <c r="X100" s="180">
        <f t="shared" si="79"/>
        <v>3.5999999999999996</v>
      </c>
    </row>
    <row r="101" spans="2:24">
      <c r="B101" s="180" t="str">
        <f>$V35</f>
        <v>Paul Allen</v>
      </c>
      <c r="C101" s="179" t="str">
        <f>Picks!B101</f>
        <v>Sheff U</v>
      </c>
      <c r="D101" s="180">
        <f>Picks!C101</f>
        <v>6</v>
      </c>
      <c r="E101" s="180">
        <f>Picks!D101</f>
        <v>4</v>
      </c>
      <c r="F101" s="179">
        <f>IF(C101="","",INDEX(Odds!K:K,MATCH(C101,Odds!G:G,0)))</f>
        <v>1</v>
      </c>
      <c r="G101" s="179">
        <f>IF(C101="","",Picks!M101)</f>
        <v>0</v>
      </c>
      <c r="H101" s="180">
        <f t="shared" si="80"/>
        <v>0</v>
      </c>
      <c r="I101" s="186"/>
      <c r="X101" s="180">
        <f t="shared" si="79"/>
        <v>3</v>
      </c>
    </row>
    <row r="102" spans="2:24">
      <c r="B102" s="179"/>
      <c r="C102" s="179" t="str">
        <f>Picks!B102</f>
        <v>Bournemouth draw</v>
      </c>
      <c r="D102" s="180">
        <f>Picks!C102</f>
        <v>7</v>
      </c>
      <c r="E102" s="180">
        <f>Picks!D102</f>
        <v>3.5</v>
      </c>
      <c r="F102" s="179">
        <f>IF(C102="","",INDEX(Odds!K:K,MATCH(C102,Odds!G:G,0)))</f>
        <v>1</v>
      </c>
      <c r="G102" s="179">
        <f>IF(C102="","",Picks!M102)</f>
        <v>0</v>
      </c>
      <c r="H102" s="180">
        <f t="shared" si="80"/>
        <v>0</v>
      </c>
      <c r="I102" s="186"/>
      <c r="X102" s="180">
        <f t="shared" si="79"/>
        <v>2.5</v>
      </c>
    </row>
    <row r="103" spans="2:24" ht="13.15" thickBot="1">
      <c r="B103" s="181"/>
      <c r="C103" s="181" t="str">
        <f>Picks!B103</f>
        <v>Everton draw</v>
      </c>
      <c r="D103" s="182">
        <f>Picks!C103</f>
        <v>7</v>
      </c>
      <c r="E103" s="182">
        <f>Picks!D103</f>
        <v>3.2</v>
      </c>
      <c r="F103" s="181">
        <f>IF(C103="","",INDEX(Odds!K:K,MATCH(C103,Odds!G:G,0)))</f>
        <v>1</v>
      </c>
      <c r="G103" s="181">
        <f>IF(C103="","",Picks!M103)</f>
        <v>1</v>
      </c>
      <c r="H103" s="182">
        <f t="shared" si="80"/>
        <v>2.2000000000000002</v>
      </c>
      <c r="I103" s="186"/>
      <c r="X103" s="180">
        <f t="shared" si="79"/>
        <v>2.2000000000000002</v>
      </c>
    </row>
    <row r="104" spans="2:24">
      <c r="B104" s="180" t="str">
        <f>$V36</f>
        <v>Paul Barnes</v>
      </c>
      <c r="C104" s="179" t="str">
        <f>Picks!B104</f>
        <v>Fulham</v>
      </c>
      <c r="D104" s="180">
        <f>Picks!C104</f>
        <v>7</v>
      </c>
      <c r="E104" s="180">
        <f>Picks!D104</f>
        <v>1.9090909090909092</v>
      </c>
      <c r="F104" s="179">
        <f>IF(C104="","",INDEX(Odds!K:K,MATCH(C104,Odds!G:G,0)))</f>
        <v>1</v>
      </c>
      <c r="G104" s="179">
        <f>IF(C104="","",Picks!M104)</f>
        <v>1</v>
      </c>
      <c r="H104" s="180">
        <f t="shared" si="80"/>
        <v>0.90909090909090917</v>
      </c>
      <c r="I104" s="186"/>
      <c r="X104" s="180">
        <f t="shared" si="79"/>
        <v>0.90909090909090917</v>
      </c>
    </row>
    <row r="105" spans="2:24">
      <c r="B105" s="179"/>
      <c r="C105" s="179" t="str">
        <f>Picks!B105</f>
        <v>Newcastle</v>
      </c>
      <c r="D105" s="180">
        <f>Picks!C105</f>
        <v>7</v>
      </c>
      <c r="E105" s="180">
        <f>Picks!D105</f>
        <v>1.4444444444444444</v>
      </c>
      <c r="F105" s="179">
        <f>IF(C105="","",INDEX(Odds!K:K,MATCH(C105,Odds!G:G,0)))</f>
        <v>1</v>
      </c>
      <c r="G105" s="179">
        <f>IF(C105="","",Picks!M105)</f>
        <v>1</v>
      </c>
      <c r="H105" s="180">
        <f t="shared" si="80"/>
        <v>0.44444444444444442</v>
      </c>
      <c r="I105" s="186"/>
      <c r="X105" s="180">
        <f t="shared" si="79"/>
        <v>0.44444444444444442</v>
      </c>
    </row>
    <row r="106" spans="2:24" ht="13.15" thickBot="1">
      <c r="B106" s="181"/>
      <c r="C106" s="181" t="str">
        <f>Picks!B106</f>
        <v>Palace</v>
      </c>
      <c r="D106" s="182">
        <f>Picks!C106</f>
        <v>7</v>
      </c>
      <c r="E106" s="182">
        <f>Picks!D106</f>
        <v>1.6153846153846154</v>
      </c>
      <c r="F106" s="181">
        <f>IF(C106="","",INDEX(Odds!K:K,MATCH(C106,Odds!G:G,0)))</f>
        <v>1</v>
      </c>
      <c r="G106" s="181">
        <f>IF(C106="","",Picks!M106)</f>
        <v>0</v>
      </c>
      <c r="H106" s="182">
        <f t="shared" si="80"/>
        <v>0</v>
      </c>
      <c r="I106" s="186"/>
      <c r="X106" s="180">
        <f t="shared" si="79"/>
        <v>0.61538461538461542</v>
      </c>
    </row>
    <row r="107" spans="2:24">
      <c r="B107" s="180" t="str">
        <f>$V37</f>
        <v>Paul Fairhurst</v>
      </c>
      <c r="C107" s="179" t="str">
        <f>Picks!B107</f>
        <v>Charlton draw</v>
      </c>
      <c r="D107" s="180">
        <f>Picks!C107</f>
        <v>7</v>
      </c>
      <c r="E107" s="180">
        <f>Picks!D107</f>
        <v>3.1</v>
      </c>
      <c r="F107" s="179">
        <f>IF(C107="","",INDEX(Odds!K:K,MATCH(C107,Odds!G:G,0)))</f>
        <v>1</v>
      </c>
      <c r="G107" s="179">
        <f>IF(C107="","",Picks!M107)</f>
        <v>1</v>
      </c>
      <c r="H107" s="180">
        <f t="shared" si="80"/>
        <v>2.1</v>
      </c>
      <c r="I107" s="186"/>
      <c r="X107" s="180">
        <f t="shared" si="79"/>
        <v>2.1</v>
      </c>
    </row>
    <row r="108" spans="2:24">
      <c r="B108" s="179"/>
      <c r="C108" s="179" t="str">
        <f>Picks!B108</f>
        <v>Bradford draw</v>
      </c>
      <c r="D108" s="180">
        <f>Picks!C108</f>
        <v>7</v>
      </c>
      <c r="E108" s="180">
        <f>Picks!D108</f>
        <v>3.2</v>
      </c>
      <c r="F108" s="179">
        <f>IF(C108="","",INDEX(Odds!K:K,MATCH(C108,Odds!G:G,0)))</f>
        <v>1</v>
      </c>
      <c r="G108" s="179">
        <f>IF(C108="","",Picks!M108)</f>
        <v>0</v>
      </c>
      <c r="H108" s="180">
        <f t="shared" si="80"/>
        <v>0</v>
      </c>
      <c r="I108" s="186"/>
      <c r="X108" s="180">
        <f t="shared" si="79"/>
        <v>2.2000000000000002</v>
      </c>
    </row>
    <row r="109" spans="2:24" ht="13.15" thickBot="1">
      <c r="B109" s="181"/>
      <c r="C109" s="181" t="str">
        <f>Picks!B109</f>
        <v>Southampton draw</v>
      </c>
      <c r="D109" s="182">
        <f>Picks!C109</f>
        <v>1</v>
      </c>
      <c r="E109" s="182">
        <f>Picks!D109</f>
        <v>3.7</v>
      </c>
      <c r="F109" s="181">
        <f>IF(C109="","",INDEX(Odds!K:K,MATCH(C109,Odds!G:G,0)))</f>
        <v>1</v>
      </c>
      <c r="G109" s="181">
        <f>IF(C109="","",Picks!M109)</f>
        <v>1</v>
      </c>
      <c r="H109" s="182">
        <f t="shared" si="80"/>
        <v>2.7</v>
      </c>
      <c r="I109" s="186"/>
      <c r="X109" s="180">
        <f t="shared" ref="X109:X139" si="81">+((E109-1)*F109*A$2)</f>
        <v>2.7</v>
      </c>
    </row>
    <row r="110" spans="2:24">
      <c r="B110" s="180" t="str">
        <f>$V38</f>
        <v>Phil Miller</v>
      </c>
      <c r="C110" s="179" t="str">
        <f>Picks!B110</f>
        <v/>
      </c>
      <c r="D110" s="180" t="str">
        <f>Picks!C110</f>
        <v/>
      </c>
      <c r="E110" s="180" t="str">
        <f>Picks!D110</f>
        <v/>
      </c>
      <c r="F110" s="179" t="str">
        <f>IF(C110="","",INDEX(Odds!K:K,MATCH(C110,Odds!G:G,0)))</f>
        <v/>
      </c>
      <c r="G110" s="179" t="str">
        <f>IF(C110="","",Picks!M110)</f>
        <v/>
      </c>
      <c r="H110" s="180" t="str">
        <f t="shared" si="80"/>
        <v/>
      </c>
      <c r="I110" s="186"/>
      <c r="X110" s="180" t="e">
        <f t="shared" si="81"/>
        <v>#VALUE!</v>
      </c>
    </row>
    <row r="111" spans="2:24">
      <c r="B111" s="179"/>
      <c r="C111" s="179" t="str">
        <f>Picks!B111</f>
        <v/>
      </c>
      <c r="D111" s="180" t="str">
        <f>Picks!C111</f>
        <v/>
      </c>
      <c r="E111" s="180" t="str">
        <f>Picks!D111</f>
        <v/>
      </c>
      <c r="F111" s="179" t="str">
        <f>IF(C111="","",INDEX(Odds!K:K,MATCH(C111,Odds!G:G,0)))</f>
        <v/>
      </c>
      <c r="G111" s="179" t="str">
        <f>IF(C111="","",Picks!M111)</f>
        <v/>
      </c>
      <c r="H111" s="180" t="str">
        <f t="shared" si="80"/>
        <v/>
      </c>
      <c r="I111" s="186"/>
      <c r="X111" s="180" t="e">
        <f t="shared" si="81"/>
        <v>#VALUE!</v>
      </c>
    </row>
    <row r="112" spans="2:24" ht="13.15" thickBot="1">
      <c r="B112" s="181"/>
      <c r="C112" s="181" t="str">
        <f>Picks!B112</f>
        <v/>
      </c>
      <c r="D112" s="182" t="str">
        <f>Picks!C112</f>
        <v/>
      </c>
      <c r="E112" s="182" t="str">
        <f>Picks!D112</f>
        <v/>
      </c>
      <c r="F112" s="181" t="str">
        <f>IF(C112="","",INDEX(Odds!K:K,MATCH(C112,Odds!G:G,0)))</f>
        <v/>
      </c>
      <c r="G112" s="181" t="str">
        <f>IF(C112="","",Picks!M112)</f>
        <v/>
      </c>
      <c r="H112" s="182" t="str">
        <f t="shared" si="80"/>
        <v/>
      </c>
      <c r="I112" s="186"/>
      <c r="X112" s="180" t="e">
        <f t="shared" si="81"/>
        <v>#VALUE!</v>
      </c>
    </row>
    <row r="113" spans="2:24">
      <c r="B113" s="180" t="str">
        <f>$V39</f>
        <v>Rob England</v>
      </c>
      <c r="C113" s="179" t="str">
        <f>Picks!B113</f>
        <v>Swindon</v>
      </c>
      <c r="D113" s="180">
        <f>Picks!C113</f>
        <v>7</v>
      </c>
      <c r="E113" s="180">
        <f>Picks!D113</f>
        <v>1.6666666666666665</v>
      </c>
      <c r="F113" s="179">
        <f>IF(C113="","",INDEX(Odds!K:K,MATCH(C113,Odds!G:G,0)))</f>
        <v>1</v>
      </c>
      <c r="G113" s="179">
        <f>IF(C113="","",Picks!M113)</f>
        <v>1</v>
      </c>
      <c r="H113" s="180">
        <f t="shared" si="80"/>
        <v>0.66666666666666652</v>
      </c>
      <c r="I113" s="186"/>
      <c r="X113" s="180">
        <f t="shared" si="81"/>
        <v>0.66666666666666652</v>
      </c>
    </row>
    <row r="114" spans="2:24">
      <c r="B114" s="179"/>
      <c r="C114" s="179" t="str">
        <f>Picks!B114</f>
        <v>Tranmere</v>
      </c>
      <c r="D114" s="180">
        <f>Picks!C114</f>
        <v>7</v>
      </c>
      <c r="E114" s="180">
        <f>Picks!D114</f>
        <v>1.6153846153846154</v>
      </c>
      <c r="F114" s="179">
        <f>IF(C114="","",INDEX(Odds!K:K,MATCH(C114,Odds!G:G,0)))</f>
        <v>1</v>
      </c>
      <c r="G114" s="179">
        <f>IF(C114="","",Picks!M114)</f>
        <v>0</v>
      </c>
      <c r="H114" s="180">
        <f t="shared" si="80"/>
        <v>0</v>
      </c>
      <c r="I114" s="186"/>
      <c r="X114" s="180">
        <f t="shared" si="81"/>
        <v>0.61538461538461542</v>
      </c>
    </row>
    <row r="115" spans="2:24" ht="13.15" thickBot="1">
      <c r="B115" s="181"/>
      <c r="C115" s="181" t="str">
        <f>Picks!B115</f>
        <v>Man C</v>
      </c>
      <c r="D115" s="182">
        <f>Picks!C115</f>
        <v>1</v>
      </c>
      <c r="E115" s="182">
        <f>Picks!D115</f>
        <v>1.6666666666666665</v>
      </c>
      <c r="F115" s="181">
        <f>IF(C115="","",INDEX(Odds!K:K,MATCH(C115,Odds!G:G,0)))</f>
        <v>1</v>
      </c>
      <c r="G115" s="181">
        <f>IF(C115="","",Picks!M115)</f>
        <v>1</v>
      </c>
      <c r="H115" s="182">
        <f t="shared" si="80"/>
        <v>0.66666666666666652</v>
      </c>
      <c r="I115" s="186"/>
      <c r="X115" s="180">
        <f t="shared" si="81"/>
        <v>0.66666666666666652</v>
      </c>
    </row>
    <row r="116" spans="2:24">
      <c r="B116" s="180" t="str">
        <f>$V40</f>
        <v>Simon Greenhalgh</v>
      </c>
      <c r="C116" s="179" t="str">
        <f>Picks!B116</f>
        <v>Bournemouth</v>
      </c>
      <c r="D116" s="180">
        <f>Picks!C116</f>
        <v>7</v>
      </c>
      <c r="E116" s="180">
        <f>Picks!D116</f>
        <v>2.4</v>
      </c>
      <c r="F116" s="179">
        <f>IF(C116="","",INDEX(Odds!K:K,MATCH(C116,Odds!G:G,0)))</f>
        <v>1</v>
      </c>
      <c r="G116" s="179">
        <f>IF(C116="","",Picks!M116)</f>
        <v>1</v>
      </c>
      <c r="H116" s="180">
        <f t="shared" si="80"/>
        <v>1.4</v>
      </c>
      <c r="I116" s="186"/>
      <c r="X116" s="180">
        <f t="shared" si="81"/>
        <v>1.4</v>
      </c>
    </row>
    <row r="117" spans="2:24">
      <c r="B117" s="179"/>
      <c r="C117" s="179" t="str">
        <f>Picks!B117</f>
        <v>Stoke</v>
      </c>
      <c r="D117" s="180">
        <f>Picks!C117</f>
        <v>7</v>
      </c>
      <c r="E117" s="180">
        <f>Picks!D117</f>
        <v>3</v>
      </c>
      <c r="F117" s="179">
        <f>IF(C117="","",INDEX(Odds!K:K,MATCH(C117,Odds!G:G,0)))</f>
        <v>1</v>
      </c>
      <c r="G117" s="179">
        <f>IF(C117="","",Picks!M117)</f>
        <v>1</v>
      </c>
      <c r="H117" s="180">
        <f t="shared" si="80"/>
        <v>2</v>
      </c>
      <c r="I117" s="186"/>
      <c r="X117" s="180">
        <f t="shared" si="81"/>
        <v>2</v>
      </c>
    </row>
    <row r="118" spans="2:24" ht="13.15" thickBot="1">
      <c r="B118" s="181"/>
      <c r="C118" s="181" t="str">
        <f>Picks!B118</f>
        <v>Exeter</v>
      </c>
      <c r="D118" s="182">
        <f>Picks!C118</f>
        <v>7</v>
      </c>
      <c r="E118" s="182">
        <f>Picks!D118</f>
        <v>2.75</v>
      </c>
      <c r="F118" s="181">
        <f>IF(C118="","",INDEX(Odds!K:K,MATCH(C118,Odds!G:G,0)))</f>
        <v>1</v>
      </c>
      <c r="G118" s="181">
        <f>IF(C118="","",Picks!M118)</f>
        <v>0</v>
      </c>
      <c r="H118" s="182">
        <f t="shared" si="80"/>
        <v>0</v>
      </c>
      <c r="I118" s="186"/>
      <c r="X118" s="180">
        <f t="shared" si="81"/>
        <v>1.75</v>
      </c>
    </row>
    <row r="119" spans="2:24">
      <c r="B119" s="180" t="str">
        <f>$V41</f>
        <v>Stephen Barr</v>
      </c>
      <c r="C119" s="179" t="str">
        <f>Picks!B119</f>
        <v>Everton</v>
      </c>
      <c r="D119" s="180">
        <f>Picks!C119</f>
        <v>7</v>
      </c>
      <c r="E119" s="180">
        <f>Picks!D119</f>
        <v>2.4500000000000002</v>
      </c>
      <c r="F119" s="179">
        <f>IF(C119="","",INDEX(Odds!K:K,MATCH(C119,Odds!G:G,0)))</f>
        <v>1</v>
      </c>
      <c r="G119" s="179">
        <f>IF(C119="","",Picks!M119)</f>
        <v>0</v>
      </c>
      <c r="H119" s="180">
        <f t="shared" si="80"/>
        <v>0</v>
      </c>
      <c r="I119" s="186"/>
      <c r="X119" s="180">
        <f t="shared" si="81"/>
        <v>1.4500000000000002</v>
      </c>
    </row>
    <row r="120" spans="2:24">
      <c r="B120" s="179"/>
      <c r="C120" s="179" t="str">
        <f>Picks!B120</f>
        <v>Spurs</v>
      </c>
      <c r="D120" s="180">
        <f>Picks!C120</f>
        <v>7</v>
      </c>
      <c r="E120" s="180">
        <f>Picks!D120</f>
        <v>2.15</v>
      </c>
      <c r="F120" s="179">
        <f>IF(C120="","",INDEX(Odds!K:K,MATCH(C120,Odds!G:G,0)))</f>
        <v>1</v>
      </c>
      <c r="G120" s="179">
        <f>IF(C120="","",Picks!M120)</f>
        <v>1</v>
      </c>
      <c r="H120" s="180">
        <f t="shared" si="80"/>
        <v>1.1499999999999999</v>
      </c>
      <c r="I120" s="186"/>
      <c r="X120" s="180">
        <f t="shared" si="81"/>
        <v>1.1499999999999999</v>
      </c>
    </row>
    <row r="121" spans="2:24" ht="13.15" thickBot="1">
      <c r="B121" s="181"/>
      <c r="C121" s="181" t="str">
        <f>Picks!B121</f>
        <v>Bournemouth draw</v>
      </c>
      <c r="D121" s="182">
        <f>Picks!C121</f>
        <v>7</v>
      </c>
      <c r="E121" s="182">
        <f>Picks!D121</f>
        <v>3.5</v>
      </c>
      <c r="F121" s="181">
        <f>IF(C121="","",INDEX(Odds!K:K,MATCH(C121,Odds!G:G,0)))</f>
        <v>1</v>
      </c>
      <c r="G121" s="181">
        <f>IF(C121="","",Picks!M121)</f>
        <v>0</v>
      </c>
      <c r="H121" s="182">
        <f t="shared" si="80"/>
        <v>0</v>
      </c>
      <c r="I121" s="186"/>
      <c r="X121" s="180">
        <f t="shared" si="81"/>
        <v>2.5</v>
      </c>
    </row>
    <row r="122" spans="2:24">
      <c r="B122" s="180" t="str">
        <f>$V42</f>
        <v>Steve Carter</v>
      </c>
      <c r="C122" s="179" t="str">
        <f>Picks!B122</f>
        <v>Bournemouth</v>
      </c>
      <c r="D122" s="180">
        <f>Picks!C122</f>
        <v>7</v>
      </c>
      <c r="E122" s="180">
        <f>Picks!D122</f>
        <v>2.4</v>
      </c>
      <c r="F122" s="179">
        <f>IF(C122="","",INDEX(Odds!K:K,MATCH(C122,Odds!G:G,0)))</f>
        <v>1</v>
      </c>
      <c r="G122" s="179">
        <f>IF(C122="","",Picks!M122)</f>
        <v>1</v>
      </c>
      <c r="H122" s="180">
        <f t="shared" si="80"/>
        <v>1.4</v>
      </c>
      <c r="I122" s="186"/>
      <c r="X122" s="180">
        <f t="shared" si="81"/>
        <v>1.4</v>
      </c>
    </row>
    <row r="123" spans="2:24">
      <c r="B123" s="179"/>
      <c r="C123" s="179" t="str">
        <f>Picks!B123</f>
        <v>Everton</v>
      </c>
      <c r="D123" s="180">
        <f>Picks!C123</f>
        <v>7</v>
      </c>
      <c r="E123" s="180">
        <f>Picks!D123</f>
        <v>2.4500000000000002</v>
      </c>
      <c r="F123" s="179">
        <f>IF(C123="","",INDEX(Odds!K:K,MATCH(C123,Odds!G:G,0)))</f>
        <v>1</v>
      </c>
      <c r="G123" s="179">
        <f>IF(C123="","",Picks!M123)</f>
        <v>0</v>
      </c>
      <c r="H123" s="180">
        <f t="shared" si="80"/>
        <v>0</v>
      </c>
      <c r="I123" s="186"/>
      <c r="X123" s="180">
        <f t="shared" si="81"/>
        <v>1.4500000000000002</v>
      </c>
    </row>
    <row r="124" spans="2:24" ht="13.15" thickBot="1">
      <c r="B124" s="181"/>
      <c r="C124" s="181" t="str">
        <f>Picks!B124</f>
        <v>Spurs</v>
      </c>
      <c r="D124" s="182">
        <f>Picks!C124</f>
        <v>7</v>
      </c>
      <c r="E124" s="182">
        <f>Picks!D124</f>
        <v>2.15</v>
      </c>
      <c r="F124" s="181">
        <f>IF(C124="","",INDEX(Odds!K:K,MATCH(C124,Odds!G:G,0)))</f>
        <v>1</v>
      </c>
      <c r="G124" s="181">
        <f>IF(C124="","",Picks!M124)</f>
        <v>1</v>
      </c>
      <c r="H124" s="182">
        <f t="shared" si="80"/>
        <v>1.1499999999999999</v>
      </c>
      <c r="I124" s="186"/>
      <c r="X124" s="180">
        <f t="shared" si="81"/>
        <v>1.1499999999999999</v>
      </c>
    </row>
    <row r="125" spans="2:24">
      <c r="B125" s="180" t="str">
        <f>$V43</f>
        <v>Steve Waterhouse</v>
      </c>
      <c r="C125" s="179" t="str">
        <f>Picks!B125</f>
        <v>West Brom</v>
      </c>
      <c r="D125" s="180">
        <f>Picks!C125</f>
        <v>7</v>
      </c>
      <c r="E125" s="180">
        <f>Picks!D125</f>
        <v>1.8</v>
      </c>
      <c r="F125" s="179">
        <f>IF(C125="","",INDEX(Odds!K:K,MATCH(C125,Odds!G:G,0)))</f>
        <v>1</v>
      </c>
      <c r="G125" s="179">
        <f>IF(C125="","",Picks!M125)</f>
        <v>0</v>
      </c>
      <c r="H125" s="180">
        <f t="shared" si="80"/>
        <v>0</v>
      </c>
      <c r="I125" s="186"/>
      <c r="X125" s="180">
        <f t="shared" si="81"/>
        <v>0.8</v>
      </c>
    </row>
    <row r="126" spans="2:24">
      <c r="B126" s="179"/>
      <c r="C126" s="179" t="str">
        <f>Picks!B126</f>
        <v>Leicester</v>
      </c>
      <c r="D126" s="180">
        <f>Picks!C126</f>
        <v>7</v>
      </c>
      <c r="E126" s="180">
        <f>Picks!D126</f>
        <v>1.9090909090909092</v>
      </c>
      <c r="F126" s="179">
        <f>IF(C126="","",INDEX(Odds!K:K,MATCH(C126,Odds!G:G,0)))</f>
        <v>1</v>
      </c>
      <c r="G126" s="179">
        <f>IF(C126="","",Picks!M126)</f>
        <v>0</v>
      </c>
      <c r="H126" s="180">
        <f t="shared" si="80"/>
        <v>0</v>
      </c>
      <c r="I126" s="186"/>
      <c r="X126" s="180">
        <f t="shared" si="81"/>
        <v>0.90909090909090917</v>
      </c>
    </row>
    <row r="127" spans="2:24" ht="13.15" thickBot="1">
      <c r="B127" s="181"/>
      <c r="C127" s="181" t="str">
        <f>Picks!B127</f>
        <v>Bristol C</v>
      </c>
      <c r="D127" s="182">
        <f>Picks!C127</f>
        <v>7</v>
      </c>
      <c r="E127" s="182">
        <f>Picks!D127</f>
        <v>2.1</v>
      </c>
      <c r="F127" s="181">
        <f>IF(C127="","",INDEX(Odds!K:K,MATCH(C127,Odds!G:G,0)))</f>
        <v>1</v>
      </c>
      <c r="G127" s="181">
        <f>IF(C127="","",Picks!M127)</f>
        <v>1</v>
      </c>
      <c r="H127" s="182">
        <f t="shared" ref="H127:H133" si="82">IF(C127="","",+((E127-1)*G127*F127*A$2))</f>
        <v>1.1000000000000001</v>
      </c>
      <c r="I127" s="186"/>
      <c r="X127" s="180">
        <f t="shared" si="81"/>
        <v>1.1000000000000001</v>
      </c>
    </row>
    <row r="128" spans="2:24">
      <c r="B128" s="180" t="str">
        <f>$V44</f>
        <v>Tom Robinson</v>
      </c>
      <c r="C128" s="179" t="str">
        <f>Picks!B128</f>
        <v>Newcastle</v>
      </c>
      <c r="D128" s="180">
        <f>Picks!C128</f>
        <v>7</v>
      </c>
      <c r="E128" s="180">
        <f>Picks!D128</f>
        <v>1.4444444444444444</v>
      </c>
      <c r="F128" s="179">
        <f>IF(C128="","",INDEX(Odds!K:K,MATCH(C128,Odds!G:G,0)))</f>
        <v>1</v>
      </c>
      <c r="G128" s="179">
        <f>IF(C128="","",Picks!M128)</f>
        <v>1</v>
      </c>
      <c r="H128" s="180">
        <f t="shared" si="82"/>
        <v>0.44444444444444442</v>
      </c>
      <c r="I128" s="186"/>
      <c r="X128" s="180">
        <f t="shared" si="81"/>
        <v>0.44444444444444442</v>
      </c>
    </row>
    <row r="129" spans="2:25">
      <c r="B129" s="179"/>
      <c r="C129" s="179" t="str">
        <f>Picks!B129</f>
        <v>Oldham</v>
      </c>
      <c r="D129" s="180">
        <f>Picks!C129</f>
        <v>7</v>
      </c>
      <c r="E129" s="180">
        <f>Picks!D129</f>
        <v>2.5</v>
      </c>
      <c r="F129" s="179">
        <f>IF(C129="","",INDEX(Odds!K:K,MATCH(C129,Odds!G:G,0)))</f>
        <v>1</v>
      </c>
      <c r="G129" s="179">
        <f>IF(C129="","",Picks!M129)</f>
        <v>1</v>
      </c>
      <c r="H129" s="180">
        <f t="shared" si="82"/>
        <v>1.5</v>
      </c>
      <c r="I129" s="186"/>
      <c r="X129" s="180">
        <f t="shared" si="81"/>
        <v>1.5</v>
      </c>
    </row>
    <row r="130" spans="2:25" ht="13.15" thickBot="1">
      <c r="B130" s="181"/>
      <c r="C130" s="181" t="str">
        <f>Picks!B130</f>
        <v>Coventry</v>
      </c>
      <c r="D130" s="182">
        <f>Picks!C130</f>
        <v>7</v>
      </c>
      <c r="E130" s="182">
        <f>Picks!D130</f>
        <v>1.7272727272727273</v>
      </c>
      <c r="F130" s="181">
        <f>IF(C130="","",INDEX(Odds!K:K,MATCH(C130,Odds!G:G,0)))</f>
        <v>1</v>
      </c>
      <c r="G130" s="181">
        <f>IF(C130="","",Picks!M130)</f>
        <v>0</v>
      </c>
      <c r="H130" s="182">
        <f t="shared" si="82"/>
        <v>0</v>
      </c>
      <c r="I130" s="186"/>
      <c r="X130" s="180">
        <f t="shared" si="81"/>
        <v>0.72727272727272729</v>
      </c>
    </row>
    <row r="131" spans="2:25">
      <c r="B131" s="180" t="str">
        <f>$V45</f>
        <v>Vinny Topping</v>
      </c>
      <c r="C131" s="179" t="str">
        <f>Picks!B131</f>
        <v>Cardiff</v>
      </c>
      <c r="D131" s="180">
        <f>Picks!C131</f>
        <v>7</v>
      </c>
      <c r="E131" s="180">
        <f>Picks!D131</f>
        <v>2.5</v>
      </c>
      <c r="F131" s="179">
        <f>IF(C131="","",INDEX(Odds!K:K,MATCH(C131,Odds!G:G,0)))</f>
        <v>1</v>
      </c>
      <c r="G131" s="179">
        <f>IF(C131="","",Picks!M131)</f>
        <v>0</v>
      </c>
      <c r="H131" s="180">
        <f t="shared" si="82"/>
        <v>0</v>
      </c>
      <c r="I131" s="186"/>
      <c r="X131" s="180">
        <f t="shared" si="81"/>
        <v>1.5</v>
      </c>
    </row>
    <row r="132" spans="2:25">
      <c r="B132" s="179"/>
      <c r="C132" s="179" t="str">
        <f>Picks!B132</f>
        <v>Doncaster</v>
      </c>
      <c r="D132" s="180">
        <f>Picks!C132</f>
        <v>7</v>
      </c>
      <c r="E132" s="180">
        <f>Picks!D132</f>
        <v>2.75</v>
      </c>
      <c r="F132" s="179">
        <f>IF(C132="","",INDEX(Odds!K:K,MATCH(C132,Odds!G:G,0)))</f>
        <v>1</v>
      </c>
      <c r="G132" s="179">
        <f>IF(C132="","",Picks!M132)</f>
        <v>0</v>
      </c>
      <c r="H132" s="180">
        <f t="shared" si="82"/>
        <v>0</v>
      </c>
      <c r="I132" s="186"/>
      <c r="X132" s="180">
        <f t="shared" si="81"/>
        <v>1.75</v>
      </c>
    </row>
    <row r="133" spans="2:25" ht="13.15" thickBot="1">
      <c r="B133" s="181"/>
      <c r="C133" s="181" t="str">
        <f>Picks!B133</f>
        <v>Stevenage</v>
      </c>
      <c r="D133" s="182">
        <f>Picks!C133</f>
        <v>7</v>
      </c>
      <c r="E133" s="182">
        <f>Picks!D133</f>
        <v>2.8</v>
      </c>
      <c r="F133" s="181">
        <f>IF(C133="","",INDEX(Odds!K:K,MATCH(C133,Odds!G:G,0)))</f>
        <v>1</v>
      </c>
      <c r="G133" s="181">
        <f>IF(C133="","",Picks!M133)</f>
        <v>0</v>
      </c>
      <c r="H133" s="182">
        <f t="shared" si="82"/>
        <v>0</v>
      </c>
      <c r="I133" s="186"/>
      <c r="X133" s="180">
        <f t="shared" si="81"/>
        <v>1.7999999999999998</v>
      </c>
    </row>
    <row r="134" spans="2:25">
      <c r="B134" s="180" t="str">
        <f>$V46</f>
        <v>Dot Bow</v>
      </c>
      <c r="C134" s="179" t="str">
        <f>Picks!B134</f>
        <v>Leeds</v>
      </c>
      <c r="D134" s="180">
        <f>Picks!C134</f>
        <v>7</v>
      </c>
      <c r="E134" s="180">
        <f>Picks!D134</f>
        <v>3.9</v>
      </c>
      <c r="F134" s="179">
        <f>IF(C134="","",INDEX(Odds!K:K,MATCH(C134,Odds!G:G,0)))</f>
        <v>1</v>
      </c>
      <c r="G134" s="179">
        <f>IF(C134="","",Picks!M134)</f>
        <v>0</v>
      </c>
      <c r="H134" s="180">
        <f t="shared" ref="H134:H136" si="83">IF(C134="","",+((E134-1)*G134*F134*A$2))</f>
        <v>0</v>
      </c>
      <c r="I134" s="186"/>
      <c r="X134" s="180">
        <f t="shared" si="81"/>
        <v>2.9</v>
      </c>
    </row>
    <row r="135" spans="2:25">
      <c r="B135" s="179"/>
      <c r="C135" s="179" t="str">
        <f>Picks!B135</f>
        <v>Newcastle</v>
      </c>
      <c r="D135" s="180">
        <f>Picks!C135</f>
        <v>7</v>
      </c>
      <c r="E135" s="180">
        <f>Picks!D135</f>
        <v>1.4444444444444444</v>
      </c>
      <c r="F135" s="179">
        <f>IF(C135="","",INDEX(Odds!K:K,MATCH(C135,Odds!G:G,0)))</f>
        <v>1</v>
      </c>
      <c r="G135" s="179">
        <f>IF(C135="","",Picks!M135)</f>
        <v>1</v>
      </c>
      <c r="H135" s="180">
        <f t="shared" si="83"/>
        <v>0.44444444444444442</v>
      </c>
      <c r="I135" s="186"/>
      <c r="X135" s="180">
        <f t="shared" si="81"/>
        <v>0.44444444444444442</v>
      </c>
    </row>
    <row r="136" spans="2:25" ht="13.15" thickBot="1">
      <c r="B136" s="181"/>
      <c r="C136" s="181" t="str">
        <f>Picks!B136</f>
        <v>Huddersfield</v>
      </c>
      <c r="D136" s="182">
        <f>Picks!C136</f>
        <v>7</v>
      </c>
      <c r="E136" s="182">
        <f>Picks!D136</f>
        <v>2.8</v>
      </c>
      <c r="F136" s="181">
        <f>IF(C136="","",INDEX(Odds!K:K,MATCH(C136,Odds!G:G,0)))</f>
        <v>1</v>
      </c>
      <c r="G136" s="181">
        <f>IF(C136="","",Picks!M136)</f>
        <v>0</v>
      </c>
      <c r="H136" s="182">
        <f t="shared" si="83"/>
        <v>0</v>
      </c>
      <c r="I136" s="186"/>
      <c r="X136" s="180">
        <f t="shared" si="81"/>
        <v>1.7999999999999998</v>
      </c>
    </row>
    <row r="137" spans="2:25">
      <c r="B137" s="180" t="str">
        <f>$V47</f>
        <v>Katy Savory</v>
      </c>
      <c r="C137" s="179" t="str">
        <f>Picks!B137</f>
        <v>Man C</v>
      </c>
      <c r="D137" s="180">
        <f>Picks!C137</f>
        <v>1</v>
      </c>
      <c r="E137" s="180">
        <f>Picks!D137</f>
        <v>1.6666666666666665</v>
      </c>
      <c r="F137" s="179">
        <f>IF(C137="","",INDEX(Odds!K:K,MATCH(C137,Odds!G:G,0)))</f>
        <v>1</v>
      </c>
      <c r="G137" s="179">
        <f>IF(C137="","",Picks!M137)</f>
        <v>1</v>
      </c>
      <c r="H137" s="180">
        <f t="shared" ref="H137:H139" si="84">IF(C137="","",+((E137-1)*G137*F137*A$2))</f>
        <v>0.66666666666666652</v>
      </c>
      <c r="I137" s="186"/>
      <c r="X137" s="180">
        <f t="shared" si="81"/>
        <v>0.66666666666666652</v>
      </c>
    </row>
    <row r="138" spans="2:25">
      <c r="B138" s="179"/>
      <c r="C138" s="179" t="str">
        <f>Picks!B138</f>
        <v>Liverpool</v>
      </c>
      <c r="D138" s="180">
        <f>Picks!C138</f>
        <v>1</v>
      </c>
      <c r="E138" s="180">
        <f>Picks!D138</f>
        <v>1.3</v>
      </c>
      <c r="F138" s="179">
        <f>IF(C138="","",INDEX(Odds!K:K,MATCH(C138,Odds!G:G,0)))</f>
        <v>1</v>
      </c>
      <c r="G138" s="179">
        <f>IF(C138="","",Picks!M138)</f>
        <v>1</v>
      </c>
      <c r="H138" s="180">
        <f t="shared" si="84"/>
        <v>0.30000000000000004</v>
      </c>
      <c r="I138" s="186"/>
      <c r="X138" s="180">
        <f t="shared" si="81"/>
        <v>0.30000000000000004</v>
      </c>
    </row>
    <row r="139" spans="2:25" ht="13.15" thickBot="1">
      <c r="B139" s="181"/>
      <c r="C139" s="181" t="str">
        <f>Picks!B139</f>
        <v>Luton</v>
      </c>
      <c r="D139" s="182">
        <f>Picks!C139</f>
        <v>7</v>
      </c>
      <c r="E139" s="182">
        <f>Picks!D139</f>
        <v>1.5</v>
      </c>
      <c r="F139" s="181">
        <f>IF(C139="","",INDEX(Odds!K:K,MATCH(C139,Odds!G:G,0)))</f>
        <v>1</v>
      </c>
      <c r="G139" s="181">
        <f>IF(C139="","",Picks!M139)</f>
        <v>0</v>
      </c>
      <c r="H139" s="182">
        <f t="shared" si="84"/>
        <v>0</v>
      </c>
      <c r="I139" s="186"/>
      <c r="X139" s="180">
        <f t="shared" si="81"/>
        <v>0.5</v>
      </c>
    </row>
    <row r="140" spans="2:25">
      <c r="I140" s="186"/>
      <c r="X140" s="180"/>
    </row>
    <row r="141" spans="2:25">
      <c r="I141" s="186"/>
    </row>
    <row r="142" spans="2:25">
      <c r="I142" s="186"/>
      <c r="Y142" s="10" t="s">
        <v>179</v>
      </c>
    </row>
    <row r="143" spans="2:25">
      <c r="I143" s="186"/>
    </row>
    <row r="144" spans="2:25">
      <c r="I144" s="186"/>
    </row>
    <row r="145" spans="9:9">
      <c r="I145" s="186"/>
    </row>
  </sheetData>
  <autoFilter ref="A1:AI244" xr:uid="{00000000-0009-0000-0000-00000C000000}"/>
  <sortState xmlns:xlrd2="http://schemas.microsoft.com/office/spreadsheetml/2017/richdata2" ref="V2:V45">
    <sortCondition ref="V2:V45"/>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4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12" sqref="C12"/>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572" t="str">
        <f>CurrentSeason</f>
        <v>PL46</v>
      </c>
      <c r="B1" s="572" t="str">
        <f>"Fixtures &amp; odds for Round "&amp;CurrentWeek</f>
        <v>Fixtures &amp; odds for Round 05</v>
      </c>
      <c r="C1" s="572"/>
      <c r="D1" s="113" t="s">
        <v>154</v>
      </c>
    </row>
    <row r="2" spans="1:6">
      <c r="A2" s="90">
        <f>IF(Match!B2="","",Match!B2)</f>
        <v>45912</v>
      </c>
      <c r="B2" s="59" t="str">
        <f>IF(Match!D2="","",Match!D2)</f>
        <v>Champ</v>
      </c>
      <c r="C2" s="59" t="str">
        <f>IF(Match!U2="","",Match!U2)</f>
        <v>Ipswich  v  Sheff U   17/20  5/2  3/1</v>
      </c>
      <c r="D2" s="58" t="str">
        <f>IF(Match!V2="","",Match!V2)</f>
        <v xml:space="preserve">Ipswich 5-0 Sheff U </v>
      </c>
    </row>
    <row r="3" spans="1:6">
      <c r="A3" s="90">
        <f>IF(Match!B3="","",Match!B3)</f>
        <v>45913</v>
      </c>
      <c r="B3" s="59" t="str">
        <f>IF(Match!D3="","",Match!D3)</f>
        <v>Premier</v>
      </c>
      <c r="C3" s="59" t="str">
        <f>IF(Match!U3="","",Match!U3)</f>
        <v>Arsenal  v  Forest   2/5  15/4  13/2</v>
      </c>
      <c r="D3" s="58" t="str">
        <f>IF(Match!V3="","",Match!V3)</f>
        <v xml:space="preserve">Arsenal 3-0 Forest </v>
      </c>
    </row>
    <row r="4" spans="1:6">
      <c r="A4" s="90">
        <f>IF(Match!B4="","",Match!B4)</f>
        <v>45913</v>
      </c>
      <c r="B4" s="59" t="str">
        <f>IF(Match!D4="","",Match!D4)</f>
        <v>Premier</v>
      </c>
      <c r="C4" s="59" t="str">
        <f>IF(Match!U4="","",Match!U4)</f>
        <v>Bournemouth  v  Brighton   7/5  5/2  9/5</v>
      </c>
      <c r="D4" s="58" t="str">
        <f>IF(Match!V4="","",Match!V4)</f>
        <v xml:space="preserve">Bournemouth 2-1 Brighton </v>
      </c>
    </row>
    <row r="5" spans="1:6">
      <c r="A5" s="90">
        <f>IF(Match!B5="","",Match!B5)</f>
        <v>45913</v>
      </c>
      <c r="B5" s="59" t="str">
        <f>IF(Match!D5="","",Match!D5)</f>
        <v>Premier</v>
      </c>
      <c r="C5" s="59" t="str">
        <f>IF(Match!U5="","",Match!U5)</f>
        <v>Brentford  v  Chelsea   17/5  11/4  3/4</v>
      </c>
      <c r="D5" s="58" t="str">
        <f>IF(Match!V5="","",Match!V5)</f>
        <v xml:space="preserve">Brentford 2-2 Chelsea </v>
      </c>
    </row>
    <row r="6" spans="1:6">
      <c r="A6" s="90">
        <f>IF(Match!B6="","",Match!B6)</f>
        <v>45913</v>
      </c>
      <c r="B6" s="59" t="str">
        <f>IF(Match!D6="","",Match!D6)</f>
        <v>Premier</v>
      </c>
      <c r="C6" s="59" t="str">
        <f>IF(Match!U6="","",Match!U6)</f>
        <v>Everton  v  Villa   29/20  11/5  19/10</v>
      </c>
      <c r="D6" s="58" t="str">
        <f>IF(Match!V6="","",Match!V6)</f>
        <v xml:space="preserve">Everton 0-0 Villa </v>
      </c>
    </row>
    <row r="7" spans="1:6">
      <c r="A7" s="90">
        <f>IF(Match!B7="","",Match!B7)</f>
        <v>45913</v>
      </c>
      <c r="B7" s="59" t="str">
        <f>IF(Match!D7="","",Match!D7)</f>
        <v>Premier</v>
      </c>
      <c r="C7" s="59" t="str">
        <f>IF(Match!U7="","",Match!U7)</f>
        <v>Fulham  v  Leeds   10/11  13/5  29/10</v>
      </c>
      <c r="D7" s="58" t="str">
        <f>IF(Match!V7="","",Match!V7)</f>
        <v xml:space="preserve">Fulham 1-0 Leeds </v>
      </c>
    </row>
    <row r="8" spans="1:6">
      <c r="A8" s="90">
        <f>IF(Match!B8="","",Match!B8)</f>
        <v>45913</v>
      </c>
      <c r="B8" s="59" t="str">
        <f>IF(Match!D8="","",Match!D8)</f>
        <v>Premier</v>
      </c>
      <c r="C8" s="59" t="str">
        <f>IF(Match!U8="","",Match!U8)</f>
        <v>Newcastle  v  Wolves   4/9  7/2  11/2</v>
      </c>
      <c r="D8" s="58" t="str">
        <f>IF(Match!V8="","",Match!V8)</f>
        <v xml:space="preserve">Newcastle 1-0 Wolves </v>
      </c>
      <c r="F8" s="8"/>
    </row>
    <row r="9" spans="1:6">
      <c r="A9" s="90">
        <f>IF(Match!B9="","",Match!B9)</f>
        <v>45913</v>
      </c>
      <c r="B9" s="59" t="str">
        <f>IF(Match!D9="","",Match!D9)</f>
        <v>Premier</v>
      </c>
      <c r="C9" s="59" t="str">
        <f>IF(Match!U9="","",Match!U9)</f>
        <v>Palace  v  Sunderland   8/13  14/5  4/1</v>
      </c>
      <c r="D9" s="58" t="str">
        <f>IF(Match!V9="","",Match!V9)</f>
        <v xml:space="preserve">Palace 0-0 Sunderland </v>
      </c>
      <c r="F9" s="8"/>
    </row>
    <row r="10" spans="1:6">
      <c r="A10" s="90">
        <f>IF(Match!B10="","",Match!B10)</f>
        <v>45913</v>
      </c>
      <c r="B10" s="59" t="str">
        <f>IF(Match!D10="","",Match!D10)</f>
        <v>Premier</v>
      </c>
      <c r="C10" s="59" t="str">
        <f>IF(Match!U10="","",Match!U10)</f>
        <v>West Ham  v  Spurs   23/10  12/5  23/20</v>
      </c>
      <c r="D10" s="58" t="str">
        <f>IF(Match!V10="","",Match!V10)</f>
        <v xml:space="preserve">West Ham 0-3 Spurs </v>
      </c>
    </row>
    <row r="11" spans="1:6">
      <c r="A11" s="90">
        <f>IF(Match!B11="","",Match!B11)</f>
        <v>45913</v>
      </c>
      <c r="B11" s="59" t="str">
        <f>IF(Match!D11="","",Match!D11)</f>
        <v>Champ</v>
      </c>
      <c r="C11" s="59" t="str">
        <f>IF(Match!U11="","",Match!U11)</f>
        <v>Charlton  v  Millwall   13/10  21/10  2/1</v>
      </c>
      <c r="D11" s="58" t="str">
        <f>IF(Match!V11="","",Match!V11)</f>
        <v xml:space="preserve">Charlton 1-1 Millwall </v>
      </c>
    </row>
    <row r="12" spans="1:6">
      <c r="A12" s="90">
        <f>IF(Match!B12="","",Match!B12)</f>
        <v>45913</v>
      </c>
      <c r="B12" s="59" t="str">
        <f>IF(Match!D12="","",Match!D12)</f>
        <v>Champ</v>
      </c>
      <c r="C12" s="14" t="str">
        <f>IF(Match!U12="","",Match!U12)</f>
        <v>Coventry  v  Norwich   8/11  27/10  7/2</v>
      </c>
      <c r="D12" s="58" t="str">
        <f>IF(Match!V12="","",Match!V12)</f>
        <v xml:space="preserve">Coventry 1-1 Norwich </v>
      </c>
    </row>
    <row r="13" spans="1:6">
      <c r="A13" s="90">
        <f>IF(Match!B13="","",Match!B13)</f>
        <v>45913</v>
      </c>
      <c r="B13" s="59" t="str">
        <f>IF(Match!D13="","",Match!D13)</f>
        <v>Champ</v>
      </c>
      <c r="C13" s="59" t="str">
        <f>IF(Match!U13="","",Match!U13)</f>
        <v>Oxford  v  Leicester   29/10  12/5  10/11</v>
      </c>
      <c r="D13" s="58" t="str">
        <f>IF(Match!V13="","",Match!V13)</f>
        <v xml:space="preserve">Oxford 2-2 Leicester </v>
      </c>
    </row>
    <row r="14" spans="1:6">
      <c r="A14" s="90">
        <f>IF(Match!B14="","",Match!B14)</f>
        <v>45913</v>
      </c>
      <c r="B14" s="59" t="str">
        <f>IF(Match!D14="","",Match!D14)</f>
        <v>Champ</v>
      </c>
      <c r="C14" s="59" t="str">
        <f>IF(Match!U14="","",Match!U14)</f>
        <v>Preston  v  Middlesbro   9/5  11/5  29/20</v>
      </c>
      <c r="D14" s="58" t="str">
        <f>IF(Match!V14="","",Match!V14)</f>
        <v xml:space="preserve">Preston 2-2 Middlesbro </v>
      </c>
    </row>
    <row r="15" spans="1:6">
      <c r="A15" s="90">
        <f>IF(Match!B15="","",Match!B15)</f>
        <v>45913</v>
      </c>
      <c r="B15" s="59" t="str">
        <f>IF(Match!D15="","",Match!D15)</f>
        <v>Champ</v>
      </c>
      <c r="C15" s="59" t="str">
        <f>IF(Match!U15="","",Match!U15)</f>
        <v>Sheff W  v  Bristol C   23/10  23/10  11/10</v>
      </c>
      <c r="D15" s="58" t="str">
        <f>IF(Match!V15="","",Match!V15)</f>
        <v xml:space="preserve">Sheff W 0-3 Bristol C </v>
      </c>
    </row>
    <row r="16" spans="1:6">
      <c r="A16" s="90">
        <f>IF(Match!B16="","",Match!B16)</f>
        <v>45913</v>
      </c>
      <c r="B16" s="59" t="str">
        <f>IF(Match!D16="","",Match!D16)</f>
        <v>Champ</v>
      </c>
      <c r="C16" s="59" t="str">
        <f>IF(Match!U16="","",Match!U16)</f>
        <v>Stoke  v  Birmingham   2/1  21/10  13/10</v>
      </c>
      <c r="D16" s="58" t="str">
        <f>IF(Match!V16="","",Match!V16)</f>
        <v xml:space="preserve">Stoke 1-0 Birmingham </v>
      </c>
      <c r="F16" s="8"/>
    </row>
    <row r="17" spans="1:6">
      <c r="A17" s="90">
        <f>IF(Match!B17="","",Match!B17)</f>
        <v>45913</v>
      </c>
      <c r="B17" s="59" t="str">
        <f>IF(Match!D17="","",Match!D17)</f>
        <v>Champ</v>
      </c>
      <c r="C17" s="59" t="str">
        <f>IF(Match!U17="","",Match!U17)</f>
        <v>Swansea  v  Hull   5/6  12/5  10/3</v>
      </c>
      <c r="D17" s="58" t="str">
        <f>IF(Match!V17="","",Match!V17)</f>
        <v xml:space="preserve">Swansea 2-2 Hull </v>
      </c>
    </row>
    <row r="18" spans="1:6">
      <c r="A18" s="90">
        <f>IF(Match!B18="","",Match!B18)</f>
        <v>45913</v>
      </c>
      <c r="B18" s="59" t="str">
        <f>IF(Match!D18="","",Match!D18)</f>
        <v>Champ</v>
      </c>
      <c r="C18" s="59" t="str">
        <f>IF(Match!U18="","",Match!U18)</f>
        <v>Watford  v  Blackburn   29/20  11/5  9/5</v>
      </c>
      <c r="D18" s="58" t="str">
        <f>IF(Match!V18="","",Match!V18)</f>
        <v xml:space="preserve">Watford 0-1 Blackburn </v>
      </c>
    </row>
    <row r="19" spans="1:6">
      <c r="A19" s="90">
        <f>IF(Match!B19="","",Match!B19)</f>
        <v>45913</v>
      </c>
      <c r="B19" s="59" t="str">
        <f>IF(Match!D19="","",Match!D19)</f>
        <v>Champ</v>
      </c>
      <c r="C19" s="59" t="str">
        <f>IF(Match!U19="","",Match!U19)</f>
        <v>West Brom  v  Derby   4/5  12/5  7/2</v>
      </c>
      <c r="D19" s="58" t="str">
        <f>IF(Match!V19="","",Match!V19)</f>
        <v xml:space="preserve">West Brom 0-1 Derby </v>
      </c>
    </row>
    <row r="20" spans="1:6">
      <c r="A20" s="90">
        <f>IF(Match!B20="","",Match!B20)</f>
        <v>45913</v>
      </c>
      <c r="B20" s="59" t="str">
        <f>IF(Match!D20="","",Match!D20)</f>
        <v>Champ</v>
      </c>
      <c r="C20" s="59" t="str">
        <f>IF(Match!U20="","",Match!U20)</f>
        <v>Wrexham  v  QPR   17/20  23/10  3/1</v>
      </c>
      <c r="D20" s="58" t="str">
        <f>IF(Match!V20="","",Match!V20)</f>
        <v xml:space="preserve">Wrexham 1-3 QPR </v>
      </c>
    </row>
    <row r="21" spans="1:6">
      <c r="A21" s="90">
        <f>IF(Match!B21="","",Match!B21)</f>
        <v>45913</v>
      </c>
      <c r="B21" s="59" t="str">
        <f>IF(Match!D21="","",Match!D21)</f>
        <v>League 1</v>
      </c>
      <c r="C21" s="59" t="str">
        <f>IF(Match!U21="","",Match!U21)</f>
        <v>Barnsley  v  Reading   17/20  5/2  14/5</v>
      </c>
      <c r="D21" s="58" t="str">
        <f>IF(Match!V21="","",Match!V21)</f>
        <v xml:space="preserve">Barnsley 3-2 Reading </v>
      </c>
    </row>
    <row r="22" spans="1:6">
      <c r="A22" s="90">
        <f>IF(Match!B22="","",Match!B22)</f>
        <v>45913</v>
      </c>
      <c r="B22" s="59" t="str">
        <f>IF(Match!D22="","",Match!D22)</f>
        <v>League 1</v>
      </c>
      <c r="C22" s="59" t="str">
        <f>IF(Match!U22="","",Match!U22)</f>
        <v>Bradford  v  Huddersfield   7/5  11/5  9/5</v>
      </c>
      <c r="D22" s="58" t="str">
        <f>IF(Match!V22="","",Match!V22)</f>
        <v xml:space="preserve">Bradford 3-1 Huddersfield </v>
      </c>
    </row>
    <row r="23" spans="1:6">
      <c r="A23" s="90">
        <f>IF(Match!B23="","",Match!B23)</f>
        <v>45913</v>
      </c>
      <c r="B23" s="59" t="str">
        <f>IF(Match!D23="","",Match!D23)</f>
        <v>League 1</v>
      </c>
      <c r="C23" s="59" t="str">
        <f>IF(Match!U23="","",Match!U23)</f>
        <v>Burton  v  Lincoln   19/10  2/1  7/5</v>
      </c>
      <c r="D23" s="58" t="str">
        <f>IF(Match!V23="","",Match!V23)</f>
        <v xml:space="preserve">Burton 0-1 Lincoln </v>
      </c>
      <c r="F23" s="8"/>
    </row>
    <row r="24" spans="1:6">
      <c r="A24" s="90">
        <f>IF(Match!B24="","",Match!B24)</f>
        <v>45913</v>
      </c>
      <c r="B24" s="59" t="str">
        <f>IF(Match!D24="","",Match!D24)</f>
        <v>League 1</v>
      </c>
      <c r="C24" s="59" t="str">
        <f>IF(Match!U24="","",Match!U24)</f>
        <v>Exeter  v  Port Vale   7/4  21/10  6/4</v>
      </c>
      <c r="D24" s="58" t="str">
        <f>IF(Match!V24="","",Match!V24)</f>
        <v xml:space="preserve">Exeter 0-2 Port Vale </v>
      </c>
    </row>
    <row r="25" spans="1:6">
      <c r="A25" s="90">
        <f>IF(Match!B25="","",Match!B25)</f>
        <v>45913</v>
      </c>
      <c r="B25" s="59" t="str">
        <f>IF(Match!D25="","",Match!D25)</f>
        <v>League 1</v>
      </c>
      <c r="C25" s="59" t="str">
        <f>IF(Match!U25="","",Match!U25)</f>
        <v>Luton  v  Plymouth   1/2  3/1  5/1</v>
      </c>
      <c r="D25" s="58" t="str">
        <f>IF(Match!V25="","",Match!V25)</f>
        <v xml:space="preserve">Luton 2-3 Plymouth </v>
      </c>
      <c r="F25" s="8"/>
    </row>
    <row r="26" spans="1:6">
      <c r="A26" s="90">
        <f>IF(Match!B26="","",Match!B26)</f>
        <v>45913</v>
      </c>
      <c r="B26" s="59" t="str">
        <f>IF(Match!D26="","",Match!D26)</f>
        <v>League 1</v>
      </c>
      <c r="C26" s="59" t="str">
        <f>IF(Match!U26="","",Match!U26)</f>
        <v>Mansfield  v  Stevenage   6/4  2/1  9/5</v>
      </c>
      <c r="D26" s="58" t="str">
        <f>IF(Match!V26="","",Match!V26)</f>
        <v xml:space="preserve">Mansfield 1-1 Stevenage </v>
      </c>
    </row>
    <row r="27" spans="1:6">
      <c r="A27" s="90">
        <f>IF(Match!B27="","",Match!B27)</f>
        <v>45913</v>
      </c>
      <c r="B27" s="59" t="str">
        <f>IF(Match!D27="","",Match!D27)</f>
        <v>League 1</v>
      </c>
      <c r="C27" s="59" t="str">
        <f>IF(Match!U27="","",Match!U27)</f>
        <v>Northampton  v  Blackpool   13/8  21/10  13/8</v>
      </c>
      <c r="D27" s="58" t="str">
        <f>IF(Match!V27="","",Match!V27)</f>
        <v xml:space="preserve">Northampton 1-0 Blackpool </v>
      </c>
    </row>
    <row r="28" spans="1:6">
      <c r="A28" s="90">
        <f>IF(Match!B28="","",Match!B28)</f>
        <v>45913</v>
      </c>
      <c r="B28" s="59" t="str">
        <f>IF(Match!D28="","",Match!D28)</f>
        <v>League 1</v>
      </c>
      <c r="C28" s="59" t="str">
        <f>IF(Match!U28="","",Match!U28)</f>
        <v>Orient  v  Bolton   19/10  23/10  13/10</v>
      </c>
      <c r="D28" s="58" t="str">
        <f>IF(Match!V28="","",Match!V28)</f>
        <v xml:space="preserve">Orient 1-1 Bolton </v>
      </c>
    </row>
    <row r="29" spans="1:6">
      <c r="A29" s="90">
        <f>IF(Match!B29="","",Match!B29)</f>
        <v>45913</v>
      </c>
      <c r="B29" s="59" t="str">
        <f>IF(Match!D29="","",Match!D29)</f>
        <v>League 1</v>
      </c>
      <c r="C29" s="59" t="str">
        <f>IF(Match!U29="","",Match!U29)</f>
        <v>Peterbro  v  Wycombe   21/10  23/10  23/20</v>
      </c>
      <c r="D29" s="58" t="str">
        <f>IF(Match!V29="","",Match!V29)</f>
        <v xml:space="preserve">Peterbro 2-1 Wycombe </v>
      </c>
    </row>
    <row r="30" spans="1:6">
      <c r="A30" s="90">
        <f>IF(Match!B30="","",Match!B30)</f>
        <v>45913</v>
      </c>
      <c r="B30" s="59" t="str">
        <f>IF(Match!D30="","",Match!D30)</f>
        <v>League 1</v>
      </c>
      <c r="C30" s="59" t="str">
        <f>IF(Match!U30="","",Match!U30)</f>
        <v>Stockport  v  Cardiff   13/8  11/5  6/4</v>
      </c>
      <c r="D30" s="58" t="str">
        <f>IF(Match!V30="","",Match!V30)</f>
        <v xml:space="preserve">Stockport 1-1 Cardiff </v>
      </c>
    </row>
    <row r="31" spans="1:6">
      <c r="A31" s="90">
        <f>IF(Match!B31="","",Match!B31)</f>
        <v>45913</v>
      </c>
      <c r="B31" s="59" t="str">
        <f>IF(Match!D31="","",Match!D31)</f>
        <v>League 1</v>
      </c>
      <c r="C31" s="59" t="str">
        <f>IF(Match!U31="","",Match!U31)</f>
        <v>Wigan  v  Doncaster   8/5  2/1  7/4</v>
      </c>
      <c r="D31" s="58" t="str">
        <f>IF(Match!V31="","",Match!V31)</f>
        <v xml:space="preserve">Wigan 3-0 Doncaster </v>
      </c>
    </row>
    <row r="32" spans="1:6">
      <c r="A32" s="90">
        <f>IF(Match!B32="","",Match!B32)</f>
        <v>45913</v>
      </c>
      <c r="B32" s="59" t="str">
        <f>IF(Match!D32="","",Match!D32)</f>
        <v>League 1</v>
      </c>
      <c r="C32" s="59" t="str">
        <f>IF(Match!U32="","",Match!U32)</f>
        <v>Wimbledon  v  Rotherham   23/20  21/10  13/8</v>
      </c>
      <c r="D32" s="58" t="str">
        <f>IF(Match!V32="","",Match!V32)</f>
        <v xml:space="preserve">Wimbledon 2-1 Rotherham </v>
      </c>
    </row>
    <row r="33" spans="1:4">
      <c r="A33" s="90">
        <f>IF(Match!B33="","",Match!B33)</f>
        <v>45913</v>
      </c>
      <c r="B33" s="59" t="str">
        <f>IF(Match!D33="","",Match!D33)</f>
        <v>League 2</v>
      </c>
      <c r="C33" s="59" t="str">
        <f>IF(Match!U33="","",Match!U33)</f>
        <v>Accrington  v  Colchester   9/5  2/1  6/4</v>
      </c>
      <c r="D33" s="58" t="str">
        <f>IF(Match!V33="","",Match!V33)</f>
        <v xml:space="preserve">Accrington 1-0 Colchester </v>
      </c>
    </row>
    <row r="34" spans="1:4">
      <c r="A34" s="90">
        <f>IF(Match!B34="","",Match!B34)</f>
        <v>45913</v>
      </c>
      <c r="B34" s="59" t="str">
        <f>IF(Match!D34="","",Match!D34)</f>
        <v>League 2</v>
      </c>
      <c r="C34" s="59" t="str">
        <f>IF(Match!U34="","",Match!U34)</f>
        <v>Bristol R  v  Barrow   1/1  21/10  14/5</v>
      </c>
      <c r="D34" s="58" t="str">
        <f>IF(Match!V34="","",Match!V34)</f>
        <v xml:space="preserve">Bristol R 2-1 Barrow </v>
      </c>
    </row>
    <row r="35" spans="1:4">
      <c r="A35" s="90">
        <f>IF(Match!B35="","",Match!B35)</f>
        <v>45913</v>
      </c>
      <c r="B35" s="59" t="str">
        <f>IF(Match!D35="","",Match!D35)</f>
        <v>League 2</v>
      </c>
      <c r="C35" s="59" t="str">
        <f>IF(Match!U35="","",Match!U35)</f>
        <v>Chesterfield  v  MK Dons   23/20  11/5  9/4</v>
      </c>
      <c r="D35" s="58" t="str">
        <f>IF(Match!V35="","",Match!V35)</f>
        <v xml:space="preserve">Chesterfield 1-1 MK Dons </v>
      </c>
    </row>
    <row r="36" spans="1:4">
      <c r="A36" s="90">
        <f>IF(Match!B36="","",Match!B36)</f>
        <v>45913</v>
      </c>
      <c r="B36" s="59" t="str">
        <f>IF(Match!D36="","",Match!D36)</f>
        <v>League 2</v>
      </c>
      <c r="C36" s="59" t="str">
        <f>IF(Match!U36="","",Match!U36)</f>
        <v>Crawley  v  Cheltenham   10/11  23/10  14/5</v>
      </c>
      <c r="D36" s="58" t="str">
        <f>IF(Match!V36="","",Match!V36)</f>
        <v xml:space="preserve">Crawley 2-0 Cheltenham </v>
      </c>
    </row>
    <row r="37" spans="1:4">
      <c r="A37" s="90">
        <f>IF(Match!B37="","",Match!B37)</f>
        <v>45913</v>
      </c>
      <c r="B37" s="59" t="str">
        <f>IF(Match!D37="","",Match!D37)</f>
        <v>League 2</v>
      </c>
      <c r="C37" s="59" t="str">
        <f>IF(Match!U37="","",Match!U37)</f>
        <v>Crewe  v  Barnet   6/4  9/4  13/8</v>
      </c>
      <c r="D37" s="58" t="str">
        <f>IF(Match!V37="","",Match!V37)</f>
        <v xml:space="preserve">Crewe 1-2 Barnet </v>
      </c>
    </row>
    <row r="38" spans="1:4">
      <c r="A38" s="90">
        <f>IF(Match!B38="","",Match!B38)</f>
        <v>45913</v>
      </c>
      <c r="B38" s="59" t="str">
        <f>IF(Match!D38="","",Match!D38)</f>
        <v>League 2</v>
      </c>
      <c r="C38" s="59" t="str">
        <f>IF(Match!U38="","",Match!U38)</f>
        <v>Fleetwood  v  Walsall   7/4  21/10  6/4</v>
      </c>
      <c r="D38" s="58" t="str">
        <f>IF(Match!V38="","",Match!V38)</f>
        <v xml:space="preserve">Fleetwood 1-1 Walsall </v>
      </c>
    </row>
    <row r="39" spans="1:4">
      <c r="A39" s="90">
        <f>IF(Match!B39="","",Match!B39)</f>
        <v>45913</v>
      </c>
      <c r="B39" s="59" t="str">
        <f>IF(Match!D39="","",Match!D39)</f>
        <v>League 2</v>
      </c>
      <c r="C39" s="59" t="str">
        <f>IF(Match!U39="","",Match!U39)</f>
        <v>Gillingham  v  Notts Co   13/10  2/1  2/1</v>
      </c>
      <c r="D39" s="58" t="str">
        <f>IF(Match!V39="","",Match!V39)</f>
        <v xml:space="preserve">Gillingham 1-0 Notts Co </v>
      </c>
    </row>
    <row r="40" spans="1:4">
      <c r="A40" s="90">
        <f>IF(Match!B40="","",Match!B40)</f>
        <v>45913</v>
      </c>
      <c r="B40" s="59" t="str">
        <f>IF(Match!D40="","",Match!D40)</f>
        <v>League 2</v>
      </c>
      <c r="C40" s="59" t="str">
        <f>IF(Match!U40="","",Match!U40)</f>
        <v>Grimsby  v  Cambridge   23/20  11/5  11/5</v>
      </c>
      <c r="D40" s="58" t="str">
        <f>IF(Match!V40="","",Match!V40)</f>
        <v xml:space="preserve">Grimsby 1-1 Cambridge </v>
      </c>
    </row>
    <row r="41" spans="1:4">
      <c r="A41" s="90">
        <f>IF(Match!B41="","",Match!B41)</f>
        <v>45913</v>
      </c>
      <c r="B41" s="59" t="str">
        <f>IF(Match!D41="","",Match!D41)</f>
        <v>League 2</v>
      </c>
      <c r="C41" s="59" t="str">
        <f>IF(Match!U41="","",Match!U41)</f>
        <v>Oldham  v  Bromley   6/4  21/10  7/4</v>
      </c>
      <c r="D41" s="58" t="str">
        <f>IF(Match!V41="","",Match!V41)</f>
        <v xml:space="preserve">Oldham 1-0 Bromley </v>
      </c>
    </row>
    <row r="42" spans="1:4">
      <c r="A42" s="90">
        <f>IF(Match!B42="","",Match!B42)</f>
        <v>45913</v>
      </c>
      <c r="B42" s="59" t="str">
        <f>IF(Match!D42="","",Match!D42)</f>
        <v>League 2</v>
      </c>
      <c r="C42" s="59" t="str">
        <f>IF(Match!U42="","",Match!U42)</f>
        <v>Shrewsbury  v  Salford   17/10  21/10  6/4</v>
      </c>
      <c r="D42" s="58" t="str">
        <f>IF(Match!V42="","",Match!V42)</f>
        <v xml:space="preserve">Shrewsbury 1-3 Salford </v>
      </c>
    </row>
    <row r="43" spans="1:4">
      <c r="A43" s="90">
        <f>IF(Match!B43="","",Match!B43)</f>
        <v>45913</v>
      </c>
      <c r="B43" s="59" t="str">
        <f>IF(Match!D43="","",Match!D43)</f>
        <v>League 2</v>
      </c>
      <c r="C43" s="59" t="str">
        <f>IF(Match!U43="","",Match!U43)</f>
        <v>Swindon  v  Harrogate   4/6  5/2  7/2</v>
      </c>
      <c r="D43" s="58" t="str">
        <f>IF(Match!V43="","",Match!V43)</f>
        <v xml:space="preserve">Swindon 3-1 Harrogate </v>
      </c>
    </row>
    <row r="44" spans="1:4">
      <c r="A44" s="90">
        <f>IF(Match!B44="","",Match!B44)</f>
        <v>45913</v>
      </c>
      <c r="B44" s="59" t="str">
        <f>IF(Match!D44="","",Match!D44)</f>
        <v>League 2</v>
      </c>
      <c r="C44" s="59" t="str">
        <f>IF(Match!U44="","",Match!U44)</f>
        <v>Tranmere  v  Newport   8/13  5/2  4/1</v>
      </c>
      <c r="D44" s="58" t="str">
        <f>IF(Match!V44="","",Match!V44)</f>
        <v xml:space="preserve">Tranmere 1-1 Newport </v>
      </c>
    </row>
    <row r="45" spans="1:4">
      <c r="A45" s="90">
        <f>IF(Match!B45="","",Match!B45)</f>
        <v>45914</v>
      </c>
      <c r="B45" s="59" t="str">
        <f>IF(Match!D45="","",Match!D45)</f>
        <v>Premier</v>
      </c>
      <c r="C45" s="14" t="str">
        <f>IF(Match!U45="","",Match!U45)</f>
        <v>Burnley  v  Liverpool   17/2  4/1  3/10</v>
      </c>
      <c r="D45" s="58" t="str">
        <f>IF(Match!V45="","",Match!V45)</f>
        <v xml:space="preserve">Burnley 0-1 Liverpool </v>
      </c>
    </row>
    <row r="46" spans="1:4">
      <c r="A46" s="90">
        <f>IF(Match!B46="","",Match!B46)</f>
        <v>45914</v>
      </c>
      <c r="B46" s="59" t="str">
        <f>IF(Match!D46="","",Match!D46)</f>
        <v>Premier</v>
      </c>
      <c r="C46" s="59" t="str">
        <f>IF(Match!U46="","",Match!U46)</f>
        <v>Man C  v  Man U   4/6  3/1  18/5</v>
      </c>
      <c r="D46" s="58" t="str">
        <f>IF(Match!V46="","",Match!V46)</f>
        <v xml:space="preserve">Man C 3-0 Man U </v>
      </c>
    </row>
    <row r="47" spans="1:4">
      <c r="A47" s="90">
        <f>IF(Match!B47="","",Match!B47)</f>
        <v>45914</v>
      </c>
      <c r="B47" s="59" t="str">
        <f>IF(Match!D47="","",Match!D47)</f>
        <v>Champ</v>
      </c>
      <c r="C47" s="58" t="str">
        <f>IF(Match!U47="","",Match!U47)</f>
        <v>Southampton  v  Portsmouth   7/10  27/10  18/5</v>
      </c>
      <c r="D47" s="58" t="str">
        <f>IF(Match!V47="","",Match!V47)</f>
        <v xml:space="preserve">Southampton 0-0 Portsmouth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N2" sqref="N2:Q34"/>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48" t="s">
        <v>333</v>
      </c>
    </row>
    <row r="2" spans="1:58" s="205" customFormat="1" ht="30" customHeight="1">
      <c r="A2" s="139"/>
      <c r="B2" s="571" t="str">
        <f>IF(CupDraw!I1="","",CupDraw!I1)</f>
        <v/>
      </c>
      <c r="C2" s="570" t="str">
        <f>IF(CupDraw!J1="","",CupDraw!J1)</f>
        <v>Preliminary Round</v>
      </c>
      <c r="D2" s="605"/>
      <c r="E2" s="564"/>
      <c r="F2" s="566"/>
      <c r="G2" s="564"/>
      <c r="H2" s="571">
        <f>CupDraw!O1</f>
        <v>45892</v>
      </c>
      <c r="I2" s="570" t="str">
        <f>CupDraw!P1</f>
        <v>Round 1</v>
      </c>
      <c r="J2" s="571" t="str">
        <f>CupDraw!Q1</f>
        <v>PL R2</v>
      </c>
      <c r="K2" s="564"/>
      <c r="L2" s="567"/>
      <c r="M2" s="564"/>
      <c r="N2" s="571">
        <f>CupDraw!U1</f>
        <v>45913</v>
      </c>
      <c r="O2" s="570" t="str">
        <f>CupDraw!V1</f>
        <v>Round 2</v>
      </c>
      <c r="P2" s="571" t="str">
        <f>CupDraw!W1</f>
        <v>PL R5</v>
      </c>
      <c r="Q2" s="564"/>
      <c r="R2" s="567"/>
      <c r="S2" s="564"/>
      <c r="T2" s="571">
        <f>CupDraw!AA1</f>
        <v>45934</v>
      </c>
      <c r="U2" s="570" t="str">
        <f>CupDraw!AB1</f>
        <v>Round 3</v>
      </c>
      <c r="V2" s="571" t="str">
        <f>CupDraw!AC1</f>
        <v>PL R8</v>
      </c>
      <c r="W2" s="564"/>
      <c r="X2" s="567"/>
      <c r="Y2" s="571">
        <f>CupDraw!AG1</f>
        <v>45955</v>
      </c>
      <c r="Z2" s="570" t="str">
        <f>CupDraw!AH1</f>
        <v>Quarter Final</v>
      </c>
      <c r="AA2" s="571" t="str">
        <f>CupDraw!AI1</f>
        <v>PL R11</v>
      </c>
      <c r="AB2" s="564"/>
      <c r="AC2" s="139"/>
      <c r="AD2" s="571">
        <f>CupDraw!AM1</f>
        <v>45976</v>
      </c>
      <c r="AE2" s="570" t="str">
        <f>CupDraw!AN1</f>
        <v>Semi-Final</v>
      </c>
      <c r="AF2" s="571" t="str">
        <f>CupDraw!AO1</f>
        <v>PL R14</v>
      </c>
      <c r="AG2" s="564"/>
      <c r="AH2" s="139"/>
      <c r="AI2" s="571">
        <f>CupDraw!AS1</f>
        <v>46004</v>
      </c>
      <c r="AJ2" s="570" t="str">
        <f>CupDraw!AT1</f>
        <v>Final</v>
      </c>
      <c r="AK2" s="571" t="str">
        <f>CupDraw!AU1</f>
        <v>PL R18</v>
      </c>
      <c r="AL2" s="564"/>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3">
        <f>CupDraw!O2</f>
        <v>1</v>
      </c>
      <c r="I3" s="68" t="str">
        <f>IF(CupDraw!P2="","",CupDraw!P2)</f>
        <v>David Dunn</v>
      </c>
      <c r="J3" s="72">
        <f>IF(CupDraw!Q2="","",CupDraw!Q2)</f>
        <v>-5.7142857142857144</v>
      </c>
      <c r="K3" s="81" t="str">
        <f>IF(CupDraw!R2="","",CupDraw!R2)</f>
        <v/>
      </c>
      <c r="L3" s="78"/>
      <c r="M3" s="58"/>
      <c r="N3" s="60">
        <f>CupDraw!U2</f>
        <v>1</v>
      </c>
      <c r="O3" s="68" t="str">
        <f>CupDraw!V2</f>
        <v>David Dunn</v>
      </c>
      <c r="P3" s="72">
        <f>IF(CupDraw!W2="","",CupDraw!W2)</f>
        <v>-4.8499999999999996</v>
      </c>
      <c r="Q3" s="81" t="str">
        <f>IF(CupDraw!X2="","",CupDraw!X2)</f>
        <v/>
      </c>
      <c r="R3" s="78"/>
      <c r="S3" s="58"/>
      <c r="T3" s="60">
        <f>CupDraw!AA2</f>
        <v>1</v>
      </c>
      <c r="U3" s="68" t="str">
        <f>CupDraw!AB2</f>
        <v>Simon Greenhalgh</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4">
        <f>CupDraw!O3</f>
        <v>0</v>
      </c>
      <c r="I4" s="68" t="str">
        <f>IF(CupDraw!P3="","",CupDraw!P3)</f>
        <v>Tom Robinson</v>
      </c>
      <c r="J4" s="72">
        <f>IF(CupDraw!Q3="","",CupDraw!Q3)</f>
        <v>-7</v>
      </c>
      <c r="K4" s="61" t="str">
        <f>IF(CupDraw!R3="","",CupDraw!R3)</f>
        <v/>
      </c>
      <c r="L4" s="78"/>
      <c r="M4" s="58"/>
      <c r="N4" s="63"/>
      <c r="O4" s="68" t="str">
        <f>CupDraw!V3</f>
        <v>Simon Greenhalgh</v>
      </c>
      <c r="P4" s="72">
        <f>IF(CupDraw!W3="","",CupDraw!W3)</f>
        <v>5.6</v>
      </c>
      <c r="Q4" s="64" t="str">
        <f>IF(CupDraw!X3="","",CupDraw!X3)</f>
        <v/>
      </c>
      <c r="R4" s="78"/>
      <c r="S4" s="58"/>
      <c r="T4" s="63"/>
      <c r="U4" s="68" t="str">
        <f>CupDraw!AB3</f>
        <v>Paul Barnes</v>
      </c>
      <c r="V4" s="91" t="str">
        <f>IF(CupDraw!AC3="","",CupDraw!AC3)</f>
        <v/>
      </c>
      <c r="W4" s="64"/>
      <c r="X4" s="78"/>
      <c r="Y4" s="63"/>
      <c r="Z4" s="68" t="str">
        <f>CupDraw!AH3</f>
        <v>Await earlier tie</v>
      </c>
      <c r="AA4" s="72">
        <f>CupDraw!AI3</f>
        <v>0</v>
      </c>
      <c r="AB4" s="618"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Simon Greenhalgh</v>
      </c>
      <c r="J5" s="72">
        <f>IF(CupDraw!Q4="","",CupDraw!Q4)</f>
        <v>-1</v>
      </c>
      <c r="K5" s="81" t="str">
        <f>IF(CupDraw!R4="","",CupDraw!R4)</f>
        <v/>
      </c>
      <c r="L5" s="78"/>
      <c r="M5" s="58"/>
      <c r="N5" s="60">
        <f>CupDraw!U4</f>
        <v>2</v>
      </c>
      <c r="O5" s="68" t="str">
        <f>CupDraw!V4</f>
        <v>Paul Barnes</v>
      </c>
      <c r="P5" s="72">
        <f>IF(CupDraw!W4="","",CupDraw!W4)</f>
        <v>-0.8888888888888884</v>
      </c>
      <c r="Q5" s="81" t="str">
        <f>IF(CupDraw!X4="","",CupDraw!X4)</f>
        <v/>
      </c>
      <c r="R5" s="78"/>
      <c r="S5" s="58"/>
      <c r="T5" s="60">
        <f>CupDraw!AA4</f>
        <v>2</v>
      </c>
      <c r="U5" s="68" t="str">
        <f>CupDraw!AB4</f>
        <v>Alick Rocca</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Julie Dodd</v>
      </c>
      <c r="J6" s="72">
        <f>IF(CupDraw!Q5="","",CupDraw!Q5)</f>
        <v>-5.1666666666666661</v>
      </c>
      <c r="K6" s="61" t="str">
        <f>IF(CupDraw!R5="","",CupDraw!R5)</f>
        <v/>
      </c>
      <c r="L6" s="78"/>
      <c r="M6" s="58"/>
      <c r="N6" s="63"/>
      <c r="O6" s="68" t="str">
        <f>CupDraw!V5</f>
        <v>Chris Luck</v>
      </c>
      <c r="P6" s="72">
        <f>IF(CupDraw!W5="","",CupDraw!W5)</f>
        <v>-4.8499999999999996</v>
      </c>
      <c r="Q6" s="64" t="str">
        <f>IF(CupDraw!X5="","",CupDraw!X5)</f>
        <v/>
      </c>
      <c r="R6" s="78"/>
      <c r="S6" s="58"/>
      <c r="T6" s="63"/>
      <c r="U6" s="68" t="str">
        <f>CupDraw!AB5</f>
        <v>Chris Bow</v>
      </c>
      <c r="V6" s="91" t="str">
        <f>IF(CupDraw!AC5="","",CupDraw!AC5)</f>
        <v/>
      </c>
      <c r="W6" s="64"/>
      <c r="X6" s="78"/>
      <c r="Y6" s="63"/>
      <c r="Z6" s="68" t="str">
        <f>CupDraw!AH5</f>
        <v>Await earlier tie</v>
      </c>
      <c r="AA6" s="72">
        <f>CupDraw!AI5</f>
        <v>0</v>
      </c>
      <c r="AB6" s="618"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Gareth Powell</v>
      </c>
      <c r="J7" s="72">
        <f>IF(CupDraw!Q6="","",CupDraw!Q6)</f>
        <v>-7</v>
      </c>
      <c r="K7" s="81" t="str">
        <f>IF(CupDraw!R6="","",CupDraw!R6)</f>
        <v/>
      </c>
      <c r="L7" s="78"/>
      <c r="M7" s="58"/>
      <c r="N7" s="60">
        <f>CupDraw!U6</f>
        <v>3</v>
      </c>
      <c r="O7" s="68" t="str">
        <f>CupDraw!V6</f>
        <v>Nick Blocksidge</v>
      </c>
      <c r="P7" s="72">
        <f>IF(CupDraw!W6="","",CupDraw!W6)</f>
        <v>-5.5555555555555554</v>
      </c>
      <c r="Q7" s="81" t="str">
        <f>IF(CupDraw!X6="","",CupDraw!X6)</f>
        <v/>
      </c>
      <c r="R7" s="78"/>
      <c r="S7" s="58"/>
      <c r="T7" s="60">
        <f>CupDraw!AA6</f>
        <v>3</v>
      </c>
      <c r="U7" s="68" t="str">
        <f>CupDraw!AB6</f>
        <v>Mark Bunn</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52" t="str">
        <f>IF(CupDraw!AO6="","",CupDraw!AO6)</f>
        <v/>
      </c>
      <c r="AG7" s="76"/>
      <c r="AH7" s="76"/>
      <c r="AI7" s="338"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Paul Barnes</v>
      </c>
      <c r="J8" s="72">
        <f>IF(CupDraw!Q7="","",CupDraw!Q7)</f>
        <v>-5.2</v>
      </c>
      <c r="K8" s="61" t="str">
        <f>IF(CupDraw!R7="","",CupDraw!R7)</f>
        <v/>
      </c>
      <c r="L8" s="78"/>
      <c r="M8" s="58"/>
      <c r="N8" s="63"/>
      <c r="O8" s="68" t="str">
        <f>CupDraw!V7</f>
        <v>Alick Rocca</v>
      </c>
      <c r="P8" s="72">
        <f>IF(CupDraw!W7="","",CupDraw!W7)</f>
        <v>-3.8</v>
      </c>
      <c r="Q8" s="64" t="str">
        <f>IF(CupDraw!X7="","",CupDraw!X7)</f>
        <v/>
      </c>
      <c r="R8" s="78"/>
      <c r="S8" s="58"/>
      <c r="T8" s="63"/>
      <c r="U8" s="68" t="str">
        <f>CupDraw!AB7</f>
        <v>Rob England</v>
      </c>
      <c r="V8" s="91" t="str">
        <f>IF(CupDraw!AC7="","",CupDraw!AC7)</f>
        <v/>
      </c>
      <c r="W8" s="64"/>
      <c r="X8" s="78"/>
      <c r="Y8" s="63"/>
      <c r="Z8" s="68" t="str">
        <f>CupDraw!AH7</f>
        <v>Await earlier tie</v>
      </c>
      <c r="AA8" s="72">
        <f>CupDraw!AI7</f>
        <v>0</v>
      </c>
      <c r="AB8" s="618" t="str">
        <f>IF(CupDraw!AJ7="","",CupDraw!AJ7)</f>
        <v/>
      </c>
      <c r="AC8" s="76"/>
      <c r="AD8" s="338" t="s">
        <v>490</v>
      </c>
      <c r="AE8" s="103"/>
      <c r="AF8" s="628"/>
      <c r="AG8" s="103"/>
      <c r="AH8" s="76"/>
      <c r="AI8" s="683"/>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Chris Luck</v>
      </c>
      <c r="J9" s="72">
        <f>IF(CupDraw!Q8="","",CupDraw!Q8)</f>
        <v>-4.7</v>
      </c>
      <c r="K9" s="81" t="str">
        <f>IF(CupDraw!R8="","",CupDraw!R8)</f>
        <v/>
      </c>
      <c r="L9" s="78"/>
      <c r="M9" s="58"/>
      <c r="N9" s="60">
        <f>CupDraw!U8</f>
        <v>4</v>
      </c>
      <c r="O9" s="68" t="str">
        <f>CupDraw!V8</f>
        <v>Bob Bailey</v>
      </c>
      <c r="P9" s="72">
        <f>IF(CupDraw!W8="","",CupDraw!W8)</f>
        <v>1.0181818181818194</v>
      </c>
      <c r="Q9" s="81" t="str">
        <f>IF(CupDraw!X8="","",CupDraw!X8)</f>
        <v/>
      </c>
      <c r="R9" s="78"/>
      <c r="S9" s="58"/>
      <c r="T9" s="60">
        <f>CupDraw!AA8</f>
        <v>4</v>
      </c>
      <c r="U9" s="68" t="str">
        <f>CupDraw!AB8</f>
        <v>Paul Fairhurst</v>
      </c>
      <c r="V9" s="91" t="str">
        <f>IF(CupDraw!AC8="","",CupDraw!AC8)</f>
        <v/>
      </c>
      <c r="W9" s="73" t="str">
        <f>CupDraw!AD8</f>
        <v/>
      </c>
      <c r="X9" s="78"/>
      <c r="Y9" s="60">
        <f>CupDraw!AG8</f>
        <v>4</v>
      </c>
      <c r="Z9" s="68" t="str">
        <f>CupDraw!AH8</f>
        <v>Await earlier tie</v>
      </c>
      <c r="AA9" s="72">
        <f>CupDraw!AI8</f>
        <v>0</v>
      </c>
      <c r="AB9" s="73" t="str">
        <f>IF(CupDraw!AJ8="","",CupDraw!AJ8)</f>
        <v/>
      </c>
      <c r="AC9" s="76"/>
      <c r="AD9" s="683"/>
      <c r="AE9" s="68" t="str">
        <f>IF(CupDraw!AN8="","",CupDraw!AN8)</f>
        <v/>
      </c>
      <c r="AF9" s="91" t="str">
        <f>IF(CupDraw!AO8="","",CupDraw!AO8)</f>
        <v/>
      </c>
      <c r="AG9" s="81">
        <f>CupDraw!AP8</f>
        <v>0</v>
      </c>
      <c r="AH9" s="76"/>
      <c r="AI9" s="684"/>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Dave Bell</v>
      </c>
      <c r="J10" s="72">
        <f>IF(CupDraw!Q9="","",CupDraw!Q9)</f>
        <v>-5.25</v>
      </c>
      <c r="K10" s="61" t="str">
        <f>IF(CupDraw!R9="","",CupDraw!R9)</f>
        <v/>
      </c>
      <c r="L10" s="78"/>
      <c r="M10" s="58"/>
      <c r="N10" s="63"/>
      <c r="O10" s="68" t="str">
        <f>CupDraw!V9</f>
        <v>Chris Bow</v>
      </c>
      <c r="P10" s="72">
        <f>IF(CupDraw!W9="","",CupDraw!W9)</f>
        <v>24.64</v>
      </c>
      <c r="Q10" s="64" t="str">
        <f>IF(CupDraw!X9="","",CupDraw!X9)</f>
        <v/>
      </c>
      <c r="R10" s="78"/>
      <c r="S10" s="58"/>
      <c r="T10" s="63"/>
      <c r="U10" s="68" t="str">
        <f>CupDraw!AB9</f>
        <v>Steve Carter</v>
      </c>
      <c r="V10" s="91" t="str">
        <f>IF(CupDraw!AC9="","",CupDraw!AC9)</f>
        <v/>
      </c>
      <c r="W10" s="64"/>
      <c r="X10" s="78"/>
      <c r="Y10" s="67"/>
      <c r="Z10" s="68" t="str">
        <f>CupDraw!AH9</f>
        <v>Await earlier tie</v>
      </c>
      <c r="AA10" s="72">
        <f>CupDraw!AI9</f>
        <v>0</v>
      </c>
      <c r="AB10" s="124" t="str">
        <f>IF(CupDraw!AJ9="","",CupDraw!AJ9)</f>
        <v/>
      </c>
      <c r="AC10" s="76"/>
      <c r="AD10" s="684"/>
      <c r="AE10" s="68" t="str">
        <f>IF(CupDraw!AN9="","",CupDraw!AN9)</f>
        <v/>
      </c>
      <c r="AF10" s="91" t="str">
        <f>IF(CupDraw!AO9="","",CupDraw!AO9)</f>
        <v/>
      </c>
      <c r="AG10" s="61"/>
      <c r="AH10" s="76"/>
      <c r="AI10" s="685"/>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Allen</v>
      </c>
      <c r="J11" s="72">
        <f>IF(CupDraw!Q10="","",CupDraw!Q10)</f>
        <v>-10</v>
      </c>
      <c r="K11" s="81" t="str">
        <f>IF(CupDraw!R10="","",CupDraw!R10)</f>
        <v/>
      </c>
      <c r="L11" s="78"/>
      <c r="M11" s="58"/>
      <c r="N11" s="60">
        <f>CupDraw!U10</f>
        <v>5</v>
      </c>
      <c r="O11" s="68" t="str">
        <f>CupDraw!V10</f>
        <v>Mark Bunn</v>
      </c>
      <c r="P11" s="72">
        <f>IF(CupDraw!W10="","",CupDraw!W10)</f>
        <v>2.5399999999999991</v>
      </c>
      <c r="Q11" s="81" t="str">
        <f>IF(CupDraw!X10="","",CupDraw!X10)</f>
        <v/>
      </c>
      <c r="R11" s="78"/>
      <c r="S11" s="58"/>
      <c r="T11" s="60">
        <f>CupDraw!AA10</f>
        <v>5</v>
      </c>
      <c r="U11" s="68" t="str">
        <f>CupDraw!AB10</f>
        <v>Andy White</v>
      </c>
      <c r="V11" s="91" t="str">
        <f>IF(CupDraw!AC10="","",CupDraw!AC10)</f>
        <v/>
      </c>
      <c r="W11" s="73" t="str">
        <f>CupDraw!AD10</f>
        <v/>
      </c>
      <c r="X11" s="78"/>
      <c r="Y11" s="76"/>
      <c r="Z11" s="76"/>
      <c r="AA11" s="87"/>
      <c r="AB11" s="76"/>
      <c r="AC11" s="76"/>
      <c r="AD11" s="82"/>
      <c r="AE11" s="68" t="str">
        <f>IF(CupDraw!AN10="","",CupDraw!AN10)</f>
        <v/>
      </c>
      <c r="AF11" s="91" t="str">
        <f>IF(CupDraw!AO10="","",CupDraw!AO10)</f>
        <v/>
      </c>
      <c r="AG11" s="81">
        <f>CupDraw!AP10</f>
        <v>0</v>
      </c>
      <c r="AH11" s="76"/>
      <c r="AI11" s="686"/>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Nick Blocksidge</v>
      </c>
      <c r="J12" s="72">
        <f>IF(CupDraw!Q11="","",CupDraw!Q11)</f>
        <v>2.25</v>
      </c>
      <c r="K12" s="61" t="str">
        <f>IF(CupDraw!R11="","",CupDraw!R11)</f>
        <v/>
      </c>
      <c r="L12" s="78"/>
      <c r="M12" s="58"/>
      <c r="N12" s="63"/>
      <c r="O12" s="68" t="str">
        <f>CupDraw!V11</f>
        <v>Paul Adderley</v>
      </c>
      <c r="P12" s="72">
        <f>IF(CupDraw!W11="","",CupDraw!W11)</f>
        <v>-1.8666666666666671</v>
      </c>
      <c r="Q12" s="64" t="str">
        <f>IF(CupDraw!X11="","",CupDraw!X11)</f>
        <v/>
      </c>
      <c r="R12" s="78"/>
      <c r="S12" s="58"/>
      <c r="T12" s="63"/>
      <c r="U12" s="68" t="str">
        <f>CupDraw!AB11</f>
        <v>Barry Birchall</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Martin Molyneux</v>
      </c>
      <c r="J13" s="72">
        <f>IF(CupDraw!Q12="","",CupDraw!Q12)</f>
        <v>-3.7</v>
      </c>
      <c r="K13" s="81" t="str">
        <f>IF(CupDraw!R12="","",CupDraw!R12)</f>
        <v/>
      </c>
      <c r="L13" s="78"/>
      <c r="M13" s="58"/>
      <c r="N13" s="60">
        <f>CupDraw!U12</f>
        <v>6</v>
      </c>
      <c r="O13" s="68" t="str">
        <f>CupDraw!V12</f>
        <v>Mike Penk</v>
      </c>
      <c r="P13" s="72">
        <f>IF(CupDraw!W12="","",CupDraw!W12)</f>
        <v>-5.15</v>
      </c>
      <c r="Q13" s="81" t="str">
        <f>IF(CupDraw!X12="","",CupDraw!X12)</f>
        <v/>
      </c>
      <c r="R13" s="78"/>
      <c r="S13" s="58"/>
      <c r="T13" s="60">
        <f>CupDraw!AA12</f>
        <v>6</v>
      </c>
      <c r="U13" s="68" t="str">
        <f>CupDraw!AB12</f>
        <v>Ben Rosser</v>
      </c>
      <c r="V13" s="91" t="str">
        <f>IF(CupDraw!AC12="","",CupDraw!AC12)</f>
        <v/>
      </c>
      <c r="W13" s="73" t="str">
        <f>CupDraw!AD12</f>
        <v/>
      </c>
      <c r="X13" s="78"/>
      <c r="Y13" s="338" t="s">
        <v>490</v>
      </c>
      <c r="Z13" s="103"/>
      <c r="AA13" s="628"/>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Alick Rocca</v>
      </c>
      <c r="J14" s="72">
        <f>IF(CupDraw!Q13="","",CupDraw!Q13)</f>
        <v>-1.6444444444444439</v>
      </c>
      <c r="K14" s="61" t="str">
        <f>IF(CupDraw!R13="","",CupDraw!R13)</f>
        <v/>
      </c>
      <c r="L14" s="78"/>
      <c r="M14" s="58"/>
      <c r="N14" s="63"/>
      <c r="O14" s="68" t="str">
        <f>CupDraw!V13</f>
        <v>Rob England</v>
      </c>
      <c r="P14" s="72">
        <f>IF(CupDraw!W13="","",CupDraw!W13)</f>
        <v>-0.88888888888888928</v>
      </c>
      <c r="Q14" s="64" t="str">
        <f>IF(CupDraw!X13="","",CupDraw!X13)</f>
        <v/>
      </c>
      <c r="R14" s="78"/>
      <c r="S14" s="58"/>
      <c r="T14" s="63"/>
      <c r="U14" s="68" t="str">
        <f>CupDraw!AB13</f>
        <v>Martin Tarbuck</v>
      </c>
      <c r="V14" s="91" t="str">
        <f>IF(CupDraw!AC13="","",CupDraw!AC13)</f>
        <v/>
      </c>
      <c r="W14" s="64"/>
      <c r="X14" s="78"/>
      <c r="Y14" s="60"/>
      <c r="Z14" s="70" t="str">
        <f>IF(CupDraw!AH13="","",CupDraw!AH13)</f>
        <v/>
      </c>
      <c r="AA14" s="72" t="str">
        <f>IF(CupDraw!AI13="","",CupDraw!AI13)</f>
        <v/>
      </c>
      <c r="AB14" s="81" t="str">
        <f>IF(CupDraw!AJ13="","",CupDraw!AJ13)</f>
        <v>R</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Graham Miller</v>
      </c>
      <c r="J15" s="72">
        <f>IF(CupDraw!Q14="","",CupDraw!Q14)</f>
        <v>-4.95</v>
      </c>
      <c r="K15" s="81" t="str">
        <f>IF(CupDraw!R14="","",CupDraw!R14)</f>
        <v/>
      </c>
      <c r="L15" s="78"/>
      <c r="M15" s="58"/>
      <c r="N15" s="60">
        <f>CupDraw!U14</f>
        <v>7</v>
      </c>
      <c r="O15" s="68" t="str">
        <f>CupDraw!V14</f>
        <v>Paul Fairhurst</v>
      </c>
      <c r="P15" s="72">
        <f>IF(CupDraw!W14="","",CupDraw!W14)</f>
        <v>11.270000000000003</v>
      </c>
      <c r="Q15" s="81" t="str">
        <f>IF(CupDraw!X14="","",CupDraw!X14)</f>
        <v/>
      </c>
      <c r="R15" s="78"/>
      <c r="S15" s="58"/>
      <c r="T15" s="60">
        <f>CupDraw!AA14</f>
        <v>7</v>
      </c>
      <c r="U15" s="68" t="str">
        <f>CupDraw!AB14</f>
        <v>Gerard Ventom</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Bob Bailey</v>
      </c>
      <c r="J16" s="72">
        <f>IF(CupDraw!Q15="","",CupDraw!Q15)</f>
        <v>1.4000000000000004</v>
      </c>
      <c r="K16" s="61" t="str">
        <f>IF(CupDraw!R15="","",CupDraw!R15)</f>
        <v/>
      </c>
      <c r="L16" s="78"/>
      <c r="M16" s="58"/>
      <c r="N16" s="63"/>
      <c r="O16" s="68" t="str">
        <f>CupDraw!V15</f>
        <v>Katy Savory</v>
      </c>
      <c r="P16" s="72">
        <f>IF(CupDraw!W15="","",CupDraw!W15)</f>
        <v>-1.8666666666666671</v>
      </c>
      <c r="Q16" s="64" t="str">
        <f>IF(CupDraw!X15="","",CupDraw!X15)</f>
        <v/>
      </c>
      <c r="R16" s="78"/>
      <c r="S16" s="58"/>
      <c r="T16" s="63"/>
      <c r="U16" s="68" t="str">
        <f>CupDraw!AB15</f>
        <v>Await earlier tie</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Chris Bow</v>
      </c>
      <c r="J17" s="72">
        <f>IF(CupDraw!Q16="","",CupDraw!Q16)</f>
        <v>2.3599999999999994</v>
      </c>
      <c r="K17" s="81" t="str">
        <f>IF(CupDraw!R16="","",CupDraw!R16)</f>
        <v/>
      </c>
      <c r="L17" s="78"/>
      <c r="M17" s="58"/>
      <c r="N17" s="60">
        <f>CupDraw!U16</f>
        <v>8</v>
      </c>
      <c r="O17" s="68" t="str">
        <f>CupDraw!V16</f>
        <v>Steve Carter</v>
      </c>
      <c r="P17" s="72">
        <f>IF(CupDraw!W16="","",CupDraw!W16)</f>
        <v>2.7100000000000009</v>
      </c>
      <c r="Q17" s="81" t="str">
        <f>IF(CupDraw!X16="","",CupDraw!X16)</f>
        <v/>
      </c>
      <c r="R17" s="78"/>
      <c r="S17" s="58"/>
      <c r="T17" s="60">
        <f>CupDraw!AA16</f>
        <v>8</v>
      </c>
      <c r="U17" s="68" t="str">
        <f>CupDraw!AB16</f>
        <v>Steve Waterhouse</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Alan Bond</v>
      </c>
      <c r="J18" s="72">
        <f>IF(CupDraw!Q17="","",CupDraw!Q17)</f>
        <v>-7</v>
      </c>
      <c r="K18" s="61" t="str">
        <f>IF(CupDraw!R17="","",CupDraw!R17)</f>
        <v/>
      </c>
      <c r="L18" s="78"/>
      <c r="M18" s="58"/>
      <c r="N18" s="63"/>
      <c r="O18" s="68" t="str">
        <f>CupDraw!V17</f>
        <v>Vinny Topping</v>
      </c>
      <c r="P18" s="72">
        <f>IF(CupDraw!W17="","",CupDraw!W17)</f>
        <v>-7</v>
      </c>
      <c r="Q18" s="64" t="str">
        <f>IF(CupDraw!X17="","",CupDraw!X17)</f>
        <v/>
      </c>
      <c r="R18" s="78"/>
      <c r="S18" s="58"/>
      <c r="T18" s="67"/>
      <c r="U18" s="68" t="str">
        <f>CupDraw!AB17</f>
        <v>Dan Gibbard</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Mark Bunn</v>
      </c>
      <c r="J19" s="72">
        <f>IF(CupDraw!Q18="","",CupDraw!Q18)</f>
        <v>2.240000000000002</v>
      </c>
      <c r="K19" s="81" t="str">
        <f>IF(CupDraw!R18="","",CupDraw!R18)</f>
        <v/>
      </c>
      <c r="L19" s="78"/>
      <c r="M19" s="58"/>
      <c r="N19" s="60">
        <f>CupDraw!U18</f>
        <v>9</v>
      </c>
      <c r="O19" s="68" t="str">
        <f>CupDraw!V18</f>
        <v>Andy White</v>
      </c>
      <c r="P19" s="72">
        <f>IF(CupDraw!W18="","",CupDraw!W18)</f>
        <v>23.156363636363636</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Charlie Griffiths</v>
      </c>
      <c r="J20" s="72">
        <f>IF(CupDraw!Q19="","",CupDraw!Q19)</f>
        <v>-4.8</v>
      </c>
      <c r="K20" s="61" t="str">
        <f>IF(CupDraw!R19="","",CupDraw!R19)</f>
        <v/>
      </c>
      <c r="L20" s="78"/>
      <c r="M20" s="58"/>
      <c r="N20" s="63"/>
      <c r="O20" s="68" t="str">
        <f>CupDraw!V19</f>
        <v>Kevin Carter</v>
      </c>
      <c r="P20" s="72">
        <f>IF(CupDraw!W19="","",CupDraw!W19)</f>
        <v>-7</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Paul Adderley</v>
      </c>
      <c r="J21" s="72">
        <f>IF(CupDraw!Q20="","",CupDraw!Q20)</f>
        <v>16.150000000000002</v>
      </c>
      <c r="K21" s="81" t="str">
        <f>IF(CupDraw!R20="","",CupDraw!R20)</f>
        <v/>
      </c>
      <c r="L21" s="78"/>
      <c r="M21" s="58"/>
      <c r="N21" s="60">
        <f>CupDraw!U20</f>
        <v>10</v>
      </c>
      <c r="O21" s="68" t="str">
        <f>CupDraw!V20</f>
        <v>Jack Walsh</v>
      </c>
      <c r="P21" s="72">
        <f>IF(CupDraw!W20="","",CupDraw!W20)</f>
        <v>-5.7</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Mark Saunders</v>
      </c>
      <c r="J22" s="72">
        <f>IF(CupDraw!Q21="","",CupDraw!Q21)</f>
        <v>-5.7142857142857144</v>
      </c>
      <c r="K22" s="61" t="str">
        <f>IF(CupDraw!R21="","",CupDraw!R21)</f>
        <v/>
      </c>
      <c r="L22" s="78"/>
      <c r="M22" s="58"/>
      <c r="N22" s="63"/>
      <c r="O22" s="68" t="str">
        <f>CupDraw!V21</f>
        <v>Barry Birchall</v>
      </c>
      <c r="P22" s="72">
        <f>IF(CupDraw!W21="","",CupDraw!W21)</f>
        <v>-1.4814814814814827</v>
      </c>
      <c r="Q22" s="64" t="str">
        <f>IF(CupDraw!X21="","",CupDraw!X21)</f>
        <v/>
      </c>
      <c r="R22" s="78"/>
      <c r="S22" s="58"/>
      <c r="T22" s="338" t="str">
        <f>CupDraw!AA21</f>
        <v>Earlier drawn ties</v>
      </c>
      <c r="U22" s="103"/>
      <c r="V22" s="628"/>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Mike Penk</v>
      </c>
      <c r="J23" s="72">
        <f>IF(CupDraw!Q22="","",CupDraw!Q22)</f>
        <v>-5.25</v>
      </c>
      <c r="K23" s="81" t="str">
        <f>IF(CupDraw!R22="","",CupDraw!R22)</f>
        <v/>
      </c>
      <c r="L23" s="78"/>
      <c r="M23" s="58"/>
      <c r="N23" s="60">
        <f>CupDraw!U22</f>
        <v>11</v>
      </c>
      <c r="O23" s="68" t="str">
        <f>CupDraw!V22</f>
        <v>Ben Rosser</v>
      </c>
      <c r="P23" s="72">
        <f>IF(CupDraw!W22="","",CupDraw!W22)</f>
        <v>4.2181818181818187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Stephen Barr</v>
      </c>
      <c r="J24" s="72">
        <f>IF(CupDraw!Q23="","",CupDraw!Q23)</f>
        <v>-7</v>
      </c>
      <c r="K24" s="61" t="str">
        <f>IF(CupDraw!R23="","",CupDraw!R23)</f>
        <v/>
      </c>
      <c r="L24" s="78"/>
      <c r="M24" s="58"/>
      <c r="N24" s="63"/>
      <c r="O24" s="68" t="str">
        <f>CupDraw!V23</f>
        <v>Howard Bradley</v>
      </c>
      <c r="P24" s="72">
        <f>IF(CupDraw!W23="","",CupDraw!W23)</f>
        <v>-7</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Phil Miller</v>
      </c>
      <c r="J25" s="72">
        <f>IF(CupDraw!Q24="","",CupDraw!Q24)</f>
        <v>-10</v>
      </c>
      <c r="K25" s="81" t="str">
        <f>IF(CupDraw!R24="","",CupDraw!R24)</f>
        <v/>
      </c>
      <c r="L25" s="78"/>
      <c r="M25" s="58"/>
      <c r="N25" s="60">
        <f>CupDraw!U24</f>
        <v>12</v>
      </c>
      <c r="O25" s="68" t="str">
        <f>CupDraw!V24</f>
        <v>Martin Tarbuck</v>
      </c>
      <c r="P25" s="72">
        <f>IF(CupDraw!W24="","",CupDraw!W24)</f>
        <v>9.1120000000000019</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Rob England</v>
      </c>
      <c r="J26" s="72">
        <f>IF(CupDraw!Q25="","",CupDraw!Q25)</f>
        <v>37.58</v>
      </c>
      <c r="K26" s="61" t="str">
        <f>IF(CupDraw!R25="","",CupDraw!R25)</f>
        <v/>
      </c>
      <c r="L26" s="78"/>
      <c r="M26" s="58"/>
      <c r="N26" s="63"/>
      <c r="O26" s="68" t="str">
        <f>CupDraw!V25</f>
        <v>Chris Griffin</v>
      </c>
      <c r="P26" s="72">
        <f>IF(CupDraw!W25="","",CupDraw!W25)</f>
        <v>2.2666666666666675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Paul Fairhurst</v>
      </c>
      <c r="J27" s="72">
        <f>IF(CupDraw!Q26="","",CupDraw!Q26)</f>
        <v>3.16</v>
      </c>
      <c r="K27" s="81" t="str">
        <f>IF(CupDraw!R26="","",CupDraw!R26)</f>
        <v/>
      </c>
      <c r="L27" s="78"/>
      <c r="M27" s="58"/>
      <c r="N27" s="60">
        <f>CupDraw!U26</f>
        <v>13</v>
      </c>
      <c r="O27" s="68" t="str">
        <f>CupDraw!V26</f>
        <v>Gerard Ventom</v>
      </c>
      <c r="P27" s="72">
        <f>IF(CupDraw!W26="","",CupDraw!W26)</f>
        <v>7.120000000000001</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Dot Bow</v>
      </c>
      <c r="J28" s="72">
        <f>IF(CupDraw!Q27="","",CupDraw!Q27)</f>
        <v>-3.7</v>
      </c>
      <c r="K28" s="61" t="str">
        <f>IF(CupDraw!R27="","",CupDraw!R27)</f>
        <v/>
      </c>
      <c r="L28" s="78"/>
      <c r="M28" s="58"/>
      <c r="N28" s="63"/>
      <c r="O28" s="68" t="str">
        <f>CupDraw!V27</f>
        <v>Frank Allen</v>
      </c>
      <c r="P28" s="72">
        <f>IF(CupDraw!W27="","",CupDraw!W27)</f>
        <v>3.4000000000000004</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Alan Rogers</v>
      </c>
      <c r="J29" s="72">
        <f>IF(CupDraw!Q28="","",CupDraw!Q28)</f>
        <v>-7</v>
      </c>
      <c r="K29" s="81" t="str">
        <f>IF(CupDraw!R28="","",CupDraw!R28)</f>
        <v/>
      </c>
      <c r="L29" s="78"/>
      <c r="M29" s="58"/>
      <c r="N29" s="60">
        <f>CupDraw!U28</f>
        <v>14</v>
      </c>
      <c r="O29" s="68" t="str">
        <f>CupDraw!V28</f>
        <v>Alex Griffin</v>
      </c>
      <c r="P29" s="72">
        <f>IF(CupDraw!W28="","",CupDraw!W28)</f>
        <v>-7</v>
      </c>
      <c r="Q29" s="81" t="str">
        <f>IF(CupDraw!X28="","",CupDraw!X28)</f>
        <v>R</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Katy Savory</v>
      </c>
      <c r="J30" s="72">
        <f>IF(CupDraw!Q29="","",CupDraw!Q29)</f>
        <v>-5.5</v>
      </c>
      <c r="K30" s="61" t="str">
        <f>IF(CupDraw!R29="","",CupDraw!R29)</f>
        <v/>
      </c>
      <c r="L30" s="78"/>
      <c r="M30" s="58"/>
      <c r="N30" s="63"/>
      <c r="O30" s="68" t="str">
        <f>CupDraw!V29</f>
        <v>Lennie Bow</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Steve Carter</v>
      </c>
      <c r="J31" s="72">
        <f>IF(CupDraw!Q30="","",CupDraw!Q30)</f>
        <v>-5.2</v>
      </c>
      <c r="K31" s="81" t="str">
        <f>IF(CupDraw!R30="","",CupDraw!R30)</f>
        <v/>
      </c>
      <c r="L31" s="78"/>
      <c r="M31" s="58"/>
      <c r="N31" s="60">
        <f>CupDraw!U30</f>
        <v>15</v>
      </c>
      <c r="O31" s="68" t="str">
        <f>CupDraw!V30</f>
        <v>Nigel Heyes</v>
      </c>
      <c r="P31" s="72">
        <f>IF(CupDraw!W30="","",CupDraw!W30)</f>
        <v>-7</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
      </c>
      <c r="J32" s="72">
        <f>IF(CupDraw!Q31="","",CupDraw!Q31)</f>
        <v>-10</v>
      </c>
      <c r="K32" s="61" t="str">
        <f>IF(CupDraw!R31="","",CupDraw!R31)</f>
        <v/>
      </c>
      <c r="L32" s="78"/>
      <c r="M32" s="58"/>
      <c r="N32" s="63"/>
      <c r="O32" s="68" t="str">
        <f>CupDraw!V31</f>
        <v>Steve Waterhouse</v>
      </c>
      <c r="P32" s="72">
        <f>IF(CupDraw!W31="","",CupDraw!W31)</f>
        <v>-4.9000000000000004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Vinny Topping</v>
      </c>
      <c r="J33" s="72">
        <f>IF(CupDraw!Q32="","",CupDraw!Q32)</f>
        <v>-7</v>
      </c>
      <c r="K33" s="81" t="str">
        <f>IF(CupDraw!R32="","",CupDraw!R32)</f>
        <v/>
      </c>
      <c r="L33" s="78"/>
      <c r="M33" s="58"/>
      <c r="N33" s="60">
        <f>CupDraw!U32</f>
        <v>16</v>
      </c>
      <c r="O33" s="68" t="str">
        <f>CupDraw!V32</f>
        <v>Dan Gibbard</v>
      </c>
      <c r="P33" s="72">
        <f>IF(CupDraw!W32="","",CupDraw!W32)</f>
        <v>15.5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
      </c>
      <c r="J34" s="72">
        <f>IF(CupDraw!Q33="","",CupDraw!Q33)</f>
        <v>-10</v>
      </c>
      <c r="K34" s="61" t="str">
        <f>IF(CupDraw!R33="","",CupDraw!R33)</f>
        <v/>
      </c>
      <c r="L34" s="78"/>
      <c r="M34" s="58"/>
      <c r="N34" s="67"/>
      <c r="O34" s="68" t="str">
        <f>CupDraw!V33</f>
        <v>Alan White</v>
      </c>
      <c r="P34" s="72">
        <f>IF(CupDraw!W33="","",CupDraw!W33)</f>
        <v>-0.40000000000000036</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Andy White</v>
      </c>
      <c r="J35" s="72">
        <f>IF(CupDraw!Q34="","",CupDraw!Q34)</f>
        <v>-7</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
      </c>
      <c r="J36" s="72">
        <f>IF(CupDraw!Q35="","",CupDraw!Q35)</f>
        <v>-10</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Kevin Carter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f>IF(CupDraw!Q37="","",CupDraw!Q37)</f>
        <v>-10</v>
      </c>
      <c r="K38" s="61" t="str">
        <f>IF(CupDraw!R37="","",CupDraw!R37)</f>
        <v/>
      </c>
      <c r="L38" s="78"/>
      <c r="M38" s="58"/>
      <c r="N38" s="338" t="str">
        <f>CupDraw!U37</f>
        <v>Earlier drawn ties</v>
      </c>
      <c r="O38" s="103"/>
      <c r="P38" s="628"/>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Jack Walsh</v>
      </c>
      <c r="J39" s="72">
        <f>IF(CupDraw!Q38="","",CupDraw!Q38)</f>
        <v>-1.155555555555555</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f>IF(CupDraw!Q39="","",CupDraw!Q39)</f>
        <v>-10</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Barry Birchall</v>
      </c>
      <c r="J41" s="72">
        <f>IF(CupDraw!Q40="","",CupDraw!Q40)</f>
        <v>-5.1666666666666661</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Ben Rosser</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Howard Bradley</v>
      </c>
      <c r="J45" s="72">
        <f>IF(CupDraw!Q44="","",CupDraw!Q44)</f>
        <v>-5.5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Martin Tarbuck</v>
      </c>
      <c r="J47" s="72">
        <f>IF(CupDraw!Q46="","",CupDraw!Q46)</f>
        <v>-0.8888888888888884</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Chris Griffin</v>
      </c>
      <c r="J49" s="72">
        <f>IF(CupDraw!Q48="","",CupDraw!Q48)</f>
        <v>-5.2</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Gerard Ventom</v>
      </c>
      <c r="J51" s="72">
        <f>IF(CupDraw!Q50="","",CupDraw!Q50)</f>
        <v>-3.6</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Frank Allen</v>
      </c>
      <c r="J53" s="72">
        <f>IF(CupDraw!Q52="","",CupDraw!Q52)</f>
        <v>-10</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f>IF(CupDraw!Q53="","",CupDraw!Q53)</f>
        <v>-11</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Alex Griffin</v>
      </c>
      <c r="J55" s="72">
        <f>IF(CupDraw!Q54="","",CupDraw!Q54)</f>
        <v>-7</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Lennie Bow</v>
      </c>
      <c r="J57" s="72">
        <f>IF(CupDraw!Q56="","",CupDraw!Q56)</f>
        <v>-1.5</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Nigel Heyes</v>
      </c>
      <c r="J59" s="72">
        <f>IF(CupDraw!Q58="","",CupDraw!Q58)</f>
        <v>-5.1666666666666661</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Steve Waterhouse</v>
      </c>
      <c r="J61" s="72">
        <f>IF(CupDraw!Q60="","",CupDraw!Q60)</f>
        <v>-5.1666666666666661</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Dan Gibbard</v>
      </c>
      <c r="J63" s="72">
        <f>IF(CupDraw!Q62="","",CupDraw!Q62)</f>
        <v>-7</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Alan White</v>
      </c>
      <c r="J65" s="72">
        <f>IF(CupDraw!Q64="","",CupDraw!Q64)</f>
        <v>-5.2</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38" t="str">
        <f>CupDraw!O68</f>
        <v>Earlier drawn ties</v>
      </c>
      <c r="I69" s="103"/>
      <c r="J69" s="628"/>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5" t="str">
        <f>IF(CupDraw!O69="","",CupDraw!O69)</f>
        <v/>
      </c>
      <c r="I70" s="68" t="str">
        <f>IF(CupDraw!P69="","",CupDraw!P69)</f>
        <v>Graham Miller</v>
      </c>
      <c r="J70" s="72">
        <f>IF(CupDraw!Q69="","",CupDraw!Q69)</f>
        <v>-7</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6">
        <f>CupDraw!O70</f>
        <v>0</v>
      </c>
      <c r="I71" s="68" t="str">
        <f>IF(CupDraw!P70="","",CupDraw!P70)</f>
        <v>Bob Bailey</v>
      </c>
      <c r="J71" s="72">
        <f>IF(CupDraw!Q70="","",CupDraw!Q70)</f>
        <v>-7</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5" t="str">
        <f>IF(CupDraw!O71="","",CupDraw!O71)</f>
        <v/>
      </c>
      <c r="I72" s="68" t="str">
        <f>IF(CupDraw!P71="","",CupDraw!P71)</f>
        <v>Mark Bunn</v>
      </c>
      <c r="J72" s="72">
        <f>IF(CupDraw!Q71="","",CupDraw!Q71)</f>
        <v>-7</v>
      </c>
      <c r="K72" s="81" t="str">
        <f>IF(CupDraw!R71="","",CupDraw!R71)</f>
        <v>R</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6">
        <f>CupDraw!O72</f>
        <v>0</v>
      </c>
      <c r="I73" s="68" t="str">
        <f>IF(CupDraw!P72="","",CupDraw!P72)</f>
        <v>Charlie Griffiths</v>
      </c>
      <c r="J73" s="72">
        <f>IF(CupDraw!Q72="","",CupDraw!Q72)</f>
        <v>-7</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5"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6">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5"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6">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7" t="str">
        <f>IF(CupDraw!L79="","",CupDraw!L79)</f>
        <v/>
      </c>
      <c r="F78" s="58"/>
      <c r="G78" s="58"/>
      <c r="H78" s="685"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8"/>
      <c r="F79" s="58"/>
      <c r="G79" s="58"/>
      <c r="H79" s="686">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7" t="str">
        <f>IF(CupDraw!L81="","",CupDraw!L81)</f>
        <v/>
      </c>
      <c r="F80" s="58"/>
      <c r="G80" s="58"/>
      <c r="H80" s="685"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8"/>
      <c r="F81" s="58"/>
      <c r="G81" s="58"/>
      <c r="H81" s="686">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7" t="str">
        <f>IF(CupDraw!L83="","",CupDraw!L83)</f>
        <v/>
      </c>
      <c r="F82" s="58"/>
      <c r="G82" s="58"/>
      <c r="H82" s="685"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8" t="str">
        <f>IF(CupDraw!L84="","",CupDraw!L84)</f>
        <v/>
      </c>
      <c r="F83" s="76"/>
      <c r="G83" s="76"/>
      <c r="H83" s="686">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7" t="str">
        <f>IF(CupDraw!L85="","",CupDraw!L85)</f>
        <v/>
      </c>
      <c r="F84" s="76"/>
      <c r="G84" s="76"/>
      <c r="H84" s="685"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8" t="str">
        <f>IF(CupDraw!L86="","",CupDraw!L86)</f>
        <v/>
      </c>
      <c r="F85" s="76"/>
      <c r="G85" s="76"/>
      <c r="H85" s="686">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7" t="str">
        <f>IF(CupDraw!L87="","",CupDraw!L87)</f>
        <v/>
      </c>
      <c r="F86" s="76"/>
      <c r="G86" s="76"/>
      <c r="H86" s="685"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8" t="str">
        <f>IF(CupDraw!L88="","",CupDraw!L88)</f>
        <v/>
      </c>
      <c r="F87" s="76"/>
      <c r="G87" s="76"/>
      <c r="H87" s="686">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5"/>
      <c r="C88" s="68" t="str">
        <f>IF(CupDraw!J89="","",CupDraw!J89)</f>
        <v/>
      </c>
      <c r="D88" s="72" t="str">
        <f>IF(CupDraw!K89="","",CupDraw!K89)</f>
        <v/>
      </c>
      <c r="E88" s="687" t="str">
        <f>IF(CupDraw!L89="","",CupDraw!L89)</f>
        <v/>
      </c>
      <c r="F88" s="76"/>
      <c r="G88" s="76"/>
      <c r="H88" s="685"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6"/>
      <c r="C89" s="68" t="str">
        <f>IF(CupDraw!J90="","",CupDraw!J90)</f>
        <v/>
      </c>
      <c r="D89" s="72" t="str">
        <f>IF(CupDraw!K90="","",CupDraw!K90)</f>
        <v/>
      </c>
      <c r="E89" s="688" t="str">
        <f>IF(CupDraw!L90="","",CupDraw!L90)</f>
        <v/>
      </c>
      <c r="F89" s="76"/>
      <c r="G89" s="76"/>
      <c r="H89" s="686">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7" t="str">
        <f>IF(CupDraw!L91="","",CupDraw!L91)</f>
        <v/>
      </c>
      <c r="F90" s="76"/>
      <c r="G90" s="76"/>
      <c r="H90" s="685"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8" t="str">
        <f>IF(CupDraw!L92="","",CupDraw!L92)</f>
        <v/>
      </c>
      <c r="F91" s="76"/>
      <c r="G91" s="76"/>
      <c r="H91" s="686">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5"/>
      <c r="C92" s="68" t="str">
        <f>IF(CupDraw!J93="","",CupDraw!J93)</f>
        <v/>
      </c>
      <c r="D92" s="72" t="str">
        <f>IF(CupDraw!K93="","",CupDraw!K93)</f>
        <v/>
      </c>
      <c r="E92" s="687" t="str">
        <f>IF(CupDraw!L93="","",CupDraw!L93)</f>
        <v/>
      </c>
      <c r="F92" s="76"/>
      <c r="G92" s="76"/>
      <c r="H92" s="685"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6"/>
      <c r="C93" s="68" t="str">
        <f>IF(CupDraw!J94="","",CupDraw!J94)</f>
        <v/>
      </c>
      <c r="D93" s="72" t="str">
        <f>IF(CupDraw!K94="","",CupDraw!K94)</f>
        <v/>
      </c>
      <c r="E93" s="688" t="str">
        <f>IF(CupDraw!L94="","",CupDraw!L94)</f>
        <v/>
      </c>
      <c r="F93" s="76"/>
      <c r="G93" s="76"/>
      <c r="H93" s="686">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06"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136" priority="113">
      <formula>J3&lt;J4</formula>
    </cfRule>
  </conditionalFormatting>
  <conditionalFormatting sqref="I4">
    <cfRule type="expression" dxfId="135" priority="112">
      <formula>J4&lt;J3</formula>
    </cfRule>
  </conditionalFormatting>
  <conditionalFormatting sqref="I6">
    <cfRule type="expression" dxfId="134" priority="111">
      <formula>J6&lt;J5</formula>
    </cfRule>
  </conditionalFormatting>
  <conditionalFormatting sqref="I8">
    <cfRule type="expression" dxfId="133" priority="110">
      <formula>J8&lt;J7</formula>
    </cfRule>
  </conditionalFormatting>
  <conditionalFormatting sqref="I5">
    <cfRule type="expression" dxfId="132" priority="109">
      <formula>J5&lt;J6</formula>
    </cfRule>
  </conditionalFormatting>
  <conditionalFormatting sqref="I7">
    <cfRule type="expression" dxfId="131" priority="108">
      <formula>J7&lt;J8</formula>
    </cfRule>
  </conditionalFormatting>
  <conditionalFormatting sqref="I9">
    <cfRule type="expression" dxfId="130" priority="107">
      <formula>J9&lt;J10</formula>
    </cfRule>
  </conditionalFormatting>
  <conditionalFormatting sqref="I11">
    <cfRule type="expression" dxfId="129" priority="106">
      <formula>J11&lt;J12</formula>
    </cfRule>
  </conditionalFormatting>
  <conditionalFormatting sqref="I13">
    <cfRule type="expression" dxfId="128" priority="105">
      <formula>J13&lt;J14</formula>
    </cfRule>
  </conditionalFormatting>
  <conditionalFormatting sqref="I15">
    <cfRule type="expression" dxfId="127" priority="104">
      <formula>J15&lt;J16</formula>
    </cfRule>
  </conditionalFormatting>
  <conditionalFormatting sqref="I17">
    <cfRule type="expression" dxfId="126" priority="103">
      <formula>J17&lt;J18</formula>
    </cfRule>
  </conditionalFormatting>
  <conditionalFormatting sqref="I19">
    <cfRule type="expression" dxfId="125" priority="102">
      <formula>J19&lt;J20</formula>
    </cfRule>
  </conditionalFormatting>
  <conditionalFormatting sqref="I21">
    <cfRule type="expression" dxfId="124" priority="101">
      <formula>J21&lt;J22</formula>
    </cfRule>
  </conditionalFormatting>
  <conditionalFormatting sqref="I23">
    <cfRule type="expression" dxfId="123" priority="100">
      <formula>J23&lt;J24</formula>
    </cfRule>
  </conditionalFormatting>
  <conditionalFormatting sqref="I25">
    <cfRule type="expression" dxfId="122" priority="99">
      <formula>J25&lt;J26</formula>
    </cfRule>
  </conditionalFormatting>
  <conditionalFormatting sqref="I27">
    <cfRule type="expression" dxfId="121" priority="98">
      <formula>J27&lt;J28</formula>
    </cfRule>
  </conditionalFormatting>
  <conditionalFormatting sqref="I29">
    <cfRule type="expression" dxfId="120" priority="97">
      <formula>J29&lt;J30</formula>
    </cfRule>
  </conditionalFormatting>
  <conditionalFormatting sqref="I31">
    <cfRule type="expression" dxfId="119" priority="96">
      <formula>J31&lt;J32</formula>
    </cfRule>
  </conditionalFormatting>
  <conditionalFormatting sqref="I33">
    <cfRule type="expression" dxfId="118" priority="95">
      <formula>J33&lt;J34</formula>
    </cfRule>
  </conditionalFormatting>
  <conditionalFormatting sqref="I35">
    <cfRule type="expression" dxfId="117" priority="94">
      <formula>J35&lt;J36</formula>
    </cfRule>
  </conditionalFormatting>
  <conditionalFormatting sqref="I44:I66">
    <cfRule type="expression" dxfId="116" priority="90">
      <formula>J44&lt;J45</formula>
    </cfRule>
  </conditionalFormatting>
  <conditionalFormatting sqref="I10">
    <cfRule type="expression" dxfId="115" priority="78">
      <formula>J10&lt;J9</formula>
    </cfRule>
  </conditionalFormatting>
  <conditionalFormatting sqref="I12">
    <cfRule type="expression" dxfId="114" priority="77">
      <formula>J12&lt;J11</formula>
    </cfRule>
  </conditionalFormatting>
  <conditionalFormatting sqref="I16">
    <cfRule type="expression" dxfId="113" priority="76">
      <formula>J16&lt;J15</formula>
    </cfRule>
  </conditionalFormatting>
  <conditionalFormatting sqref="I18">
    <cfRule type="expression" dxfId="112" priority="75">
      <formula>J18&lt;J17</formula>
    </cfRule>
  </conditionalFormatting>
  <conditionalFormatting sqref="I20">
    <cfRule type="expression" dxfId="111" priority="74">
      <formula>J20&lt;J19</formula>
    </cfRule>
  </conditionalFormatting>
  <conditionalFormatting sqref="I24">
    <cfRule type="expression" dxfId="110" priority="73">
      <formula>J24&lt;J23</formula>
    </cfRule>
  </conditionalFormatting>
  <conditionalFormatting sqref="I26">
    <cfRule type="expression" dxfId="109" priority="72">
      <formula>J26&lt;J25</formula>
    </cfRule>
  </conditionalFormatting>
  <conditionalFormatting sqref="I28">
    <cfRule type="expression" dxfId="108" priority="71">
      <formula>J28&lt;J27</formula>
    </cfRule>
  </conditionalFormatting>
  <conditionalFormatting sqref="I30">
    <cfRule type="expression" dxfId="107" priority="70">
      <formula>J30&lt;J29</formula>
    </cfRule>
  </conditionalFormatting>
  <conditionalFormatting sqref="I32">
    <cfRule type="expression" dxfId="106" priority="69">
      <formula>J32&lt;J31</formula>
    </cfRule>
  </conditionalFormatting>
  <conditionalFormatting sqref="I34">
    <cfRule type="expression" dxfId="105" priority="68">
      <formula>J34&lt;J33</formula>
    </cfRule>
  </conditionalFormatting>
  <conditionalFormatting sqref="I36:I43">
    <cfRule type="expression" dxfId="104" priority="67">
      <formula>J36&lt;J35</formula>
    </cfRule>
  </conditionalFormatting>
  <conditionalFormatting sqref="O3">
    <cfRule type="expression" dxfId="103" priority="51">
      <formula>P3&lt;P4</formula>
    </cfRule>
  </conditionalFormatting>
  <conditionalFormatting sqref="O4">
    <cfRule type="expression" dxfId="102" priority="50">
      <formula>P4&lt;P3</formula>
    </cfRule>
  </conditionalFormatting>
  <conditionalFormatting sqref="O5">
    <cfRule type="expression" dxfId="101" priority="49">
      <formula>P5&lt;P6</formula>
    </cfRule>
  </conditionalFormatting>
  <conditionalFormatting sqref="O6">
    <cfRule type="expression" dxfId="100" priority="48">
      <formula>P6&lt;P5</formula>
    </cfRule>
  </conditionalFormatting>
  <conditionalFormatting sqref="O7">
    <cfRule type="expression" dxfId="99" priority="47">
      <formula>P7&lt;P8</formula>
    </cfRule>
  </conditionalFormatting>
  <conditionalFormatting sqref="O8">
    <cfRule type="expression" dxfId="98" priority="46">
      <formula>P8&lt;P7</formula>
    </cfRule>
  </conditionalFormatting>
  <conditionalFormatting sqref="O9">
    <cfRule type="expression" dxfId="97" priority="45">
      <formula>P9&lt;P10</formula>
    </cfRule>
  </conditionalFormatting>
  <conditionalFormatting sqref="O10">
    <cfRule type="expression" dxfId="96" priority="44">
      <formula>P10&lt;P9</formula>
    </cfRule>
  </conditionalFormatting>
  <conditionalFormatting sqref="O11">
    <cfRule type="expression" dxfId="95" priority="43">
      <formula>P11&lt;P12</formula>
    </cfRule>
  </conditionalFormatting>
  <conditionalFormatting sqref="O12">
    <cfRule type="expression" dxfId="94" priority="42">
      <formula>P12&lt;P11</formula>
    </cfRule>
  </conditionalFormatting>
  <conditionalFormatting sqref="O13">
    <cfRule type="expression" dxfId="93" priority="41">
      <formula>P13&lt;P14</formula>
    </cfRule>
  </conditionalFormatting>
  <conditionalFormatting sqref="O14">
    <cfRule type="expression" dxfId="92" priority="40">
      <formula>P14&lt;P13</formula>
    </cfRule>
  </conditionalFormatting>
  <conditionalFormatting sqref="O15">
    <cfRule type="expression" dxfId="91" priority="39">
      <formula>P15&lt;P16</formula>
    </cfRule>
  </conditionalFormatting>
  <conditionalFormatting sqref="O16">
    <cfRule type="expression" dxfId="90" priority="38">
      <formula>P16&lt;P15</formula>
    </cfRule>
  </conditionalFormatting>
  <conditionalFormatting sqref="O17">
    <cfRule type="expression" dxfId="89" priority="37">
      <formula>P17&lt;P18</formula>
    </cfRule>
  </conditionalFormatting>
  <conditionalFormatting sqref="O18">
    <cfRule type="expression" dxfId="88" priority="36">
      <formula>P18&lt;P17</formula>
    </cfRule>
  </conditionalFormatting>
  <conditionalFormatting sqref="O19">
    <cfRule type="expression" dxfId="87" priority="35">
      <formula>P19&lt;P20</formula>
    </cfRule>
  </conditionalFormatting>
  <conditionalFormatting sqref="O20">
    <cfRule type="expression" dxfId="86" priority="34">
      <formula>P20&lt;P19</formula>
    </cfRule>
  </conditionalFormatting>
  <conditionalFormatting sqref="O21">
    <cfRule type="expression" dxfId="85" priority="33">
      <formula>P21&lt;P22</formula>
    </cfRule>
  </conditionalFormatting>
  <conditionalFormatting sqref="O22">
    <cfRule type="expression" dxfId="84" priority="32">
      <formula>P22&lt;P21</formula>
    </cfRule>
  </conditionalFormatting>
  <conditionalFormatting sqref="O23">
    <cfRule type="expression" dxfId="83" priority="31">
      <formula>P23&lt;P24</formula>
    </cfRule>
  </conditionalFormatting>
  <conditionalFormatting sqref="O24">
    <cfRule type="expression" dxfId="82" priority="30">
      <formula>P24&lt;P23</formula>
    </cfRule>
  </conditionalFormatting>
  <conditionalFormatting sqref="O25">
    <cfRule type="expression" dxfId="81" priority="29">
      <formula>P25&lt;P26</formula>
    </cfRule>
  </conditionalFormatting>
  <conditionalFormatting sqref="O26">
    <cfRule type="expression" dxfId="80" priority="28">
      <formula>P26&lt;P25</formula>
    </cfRule>
  </conditionalFormatting>
  <conditionalFormatting sqref="O27">
    <cfRule type="expression" dxfId="79" priority="27">
      <formula>P27&lt;P28</formula>
    </cfRule>
  </conditionalFormatting>
  <conditionalFormatting sqref="O28">
    <cfRule type="expression" dxfId="78" priority="26">
      <formula>P28&lt;P27</formula>
    </cfRule>
  </conditionalFormatting>
  <conditionalFormatting sqref="O29">
    <cfRule type="expression" dxfId="77" priority="25">
      <formula>P29&lt;P30</formula>
    </cfRule>
  </conditionalFormatting>
  <conditionalFormatting sqref="O30">
    <cfRule type="expression" dxfId="76" priority="24">
      <formula>P30&lt;P29</formula>
    </cfRule>
  </conditionalFormatting>
  <conditionalFormatting sqref="O31">
    <cfRule type="expression" dxfId="75" priority="23">
      <formula>P31&lt;P32</formula>
    </cfRule>
  </conditionalFormatting>
  <conditionalFormatting sqref="O32">
    <cfRule type="expression" dxfId="74" priority="22">
      <formula>P32&lt;P31</formula>
    </cfRule>
  </conditionalFormatting>
  <conditionalFormatting sqref="O33">
    <cfRule type="expression" dxfId="73" priority="21">
      <formula>P33&lt;P34</formula>
    </cfRule>
  </conditionalFormatting>
  <conditionalFormatting sqref="O34">
    <cfRule type="expression" dxfId="72" priority="20">
      <formula>P34&lt;P33</formula>
    </cfRule>
  </conditionalFormatting>
  <conditionalFormatting sqref="U3">
    <cfRule type="expression" dxfId="71" priority="19">
      <formula>V3&lt;V4</formula>
    </cfRule>
  </conditionalFormatting>
  <conditionalFormatting sqref="U4">
    <cfRule type="expression" dxfId="70" priority="18">
      <formula>V4&lt;V3</formula>
    </cfRule>
  </conditionalFormatting>
  <conditionalFormatting sqref="U5 U7 U9 U11 U13 U15 U17">
    <cfRule type="expression" dxfId="69" priority="17">
      <formula>V5&lt;V6</formula>
    </cfRule>
  </conditionalFormatting>
  <conditionalFormatting sqref="U6 U8 U10 U12 U14 U16 U18">
    <cfRule type="expression" dxfId="68" priority="16">
      <formula>V6&lt;V5</formula>
    </cfRule>
  </conditionalFormatting>
  <conditionalFormatting sqref="Z3">
    <cfRule type="expression" dxfId="67" priority="15">
      <formula>AA3&lt;AA4</formula>
    </cfRule>
  </conditionalFormatting>
  <conditionalFormatting sqref="Z4">
    <cfRule type="expression" dxfId="66" priority="14">
      <formula>AA4&lt;AA3</formula>
    </cfRule>
  </conditionalFormatting>
  <conditionalFormatting sqref="Z5 Z7 Z9">
    <cfRule type="expression" dxfId="65" priority="13">
      <formula>AA5&lt;AA6</formula>
    </cfRule>
  </conditionalFormatting>
  <conditionalFormatting sqref="Z6 Z8 Z10">
    <cfRule type="expression" dxfId="64" priority="12">
      <formula>AA6&lt;AA5</formula>
    </cfRule>
  </conditionalFormatting>
  <conditionalFormatting sqref="AE3">
    <cfRule type="expression" dxfId="63" priority="7">
      <formula>AF3&lt;AF4</formula>
    </cfRule>
  </conditionalFormatting>
  <conditionalFormatting sqref="AE4">
    <cfRule type="expression" dxfId="62" priority="6">
      <formula>AF4&lt;AF3</formula>
    </cfRule>
  </conditionalFormatting>
  <conditionalFormatting sqref="AE5">
    <cfRule type="expression" dxfId="61" priority="5">
      <formula>AF5&lt;AF6</formula>
    </cfRule>
  </conditionalFormatting>
  <conditionalFormatting sqref="AE6">
    <cfRule type="expression" dxfId="60" priority="4">
      <formula>AF6&lt;AF5</formula>
    </cfRule>
  </conditionalFormatting>
  <conditionalFormatting sqref="AA3:AA10">
    <cfRule type="expression" dxfId="59"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Q2" activePane="bottomRight" state="frozen"/>
      <selection pane="topRight" activeCell="H1" sqref="H1"/>
      <selection pane="bottomLeft" activeCell="A2" sqref="A2"/>
      <selection pane="bottomRight" activeCell="U1" sqref="U1:X3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8.6640625" style="1"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05" customFormat="1" ht="30" customHeight="1">
      <c r="A1" s="561" t="s">
        <v>403</v>
      </c>
      <c r="B1" s="561">
        <v>46</v>
      </c>
      <c r="C1" s="562"/>
      <c r="D1" s="562"/>
      <c r="E1" s="139"/>
      <c r="F1" s="563" t="s">
        <v>130</v>
      </c>
      <c r="G1" s="355" t="s">
        <v>131</v>
      </c>
      <c r="H1" s="564"/>
      <c r="I1" s="569" t="str">
        <f>IF($B$14="","",$B$14)</f>
        <v/>
      </c>
      <c r="J1" s="565" t="str">
        <f>IF($A$14="","",$A$14)</f>
        <v>Preliminary Round</v>
      </c>
      <c r="K1" s="218" t="str">
        <f>IF(B14="","",CONCATENATE("PL R",B14))</f>
        <v/>
      </c>
      <c r="L1" s="564"/>
      <c r="M1" s="566" t="s">
        <v>28</v>
      </c>
      <c r="N1" s="668" t="s">
        <v>572</v>
      </c>
      <c r="O1" s="600">
        <f>IF($C$15="","",$C$15)</f>
        <v>45892</v>
      </c>
      <c r="P1" s="601" t="str">
        <f>IF($A$15="","",$A$15)</f>
        <v>Round 1</v>
      </c>
      <c r="Q1" s="606" t="str">
        <f>IF(B15="","",CONCATENATE("PL R",B15))</f>
        <v>PL R2</v>
      </c>
      <c r="R1" s="564"/>
      <c r="S1" s="567" t="s">
        <v>28</v>
      </c>
      <c r="T1" s="564"/>
      <c r="U1" s="571">
        <f>IF($C$16="","",$C$16)</f>
        <v>45913</v>
      </c>
      <c r="V1" s="602" t="str">
        <f>IF($A$16="","",$A$16)</f>
        <v>Round 2</v>
      </c>
      <c r="W1" s="218" t="str">
        <f>IF(B16="","",CONCATENATE("PL R",B16))</f>
        <v>PL R5</v>
      </c>
      <c r="X1" s="564"/>
      <c r="Y1" s="567" t="s">
        <v>28</v>
      </c>
      <c r="Z1" s="564"/>
      <c r="AA1" s="571">
        <f>IF($C$17="","",$C$17)</f>
        <v>45934</v>
      </c>
      <c r="AB1" s="602" t="str">
        <f>IF($A$17="","",$A$17)</f>
        <v>Round 3</v>
      </c>
      <c r="AC1" s="218" t="str">
        <f>IF(B17="","",CONCATENATE("PL R",B17))</f>
        <v>PL R8</v>
      </c>
      <c r="AD1" s="564"/>
      <c r="AE1" s="567" t="s">
        <v>28</v>
      </c>
      <c r="AF1" s="139"/>
      <c r="AG1" s="571">
        <f>IF($C$18="","",$C$18)</f>
        <v>45955</v>
      </c>
      <c r="AH1" s="602" t="str">
        <f>IF($A$18="","",$A$18)</f>
        <v>Quarter Final</v>
      </c>
      <c r="AI1" s="218" t="str">
        <f>IF(B18="","",CONCATENATE("PL R",B18))</f>
        <v>PL R11</v>
      </c>
      <c r="AJ1" s="564"/>
      <c r="AK1" s="568"/>
      <c r="AL1" s="139"/>
      <c r="AM1" s="600">
        <f>IF($C$19="","",$C$19)</f>
        <v>45976</v>
      </c>
      <c r="AN1" s="601" t="str">
        <f>IF($A$19="","",$A$19)</f>
        <v>Semi-Final</v>
      </c>
      <c r="AO1" s="218" t="str">
        <f>IF(B19="","",CONCATENATE("PL R",B19))</f>
        <v>PL R14</v>
      </c>
      <c r="AP1" s="564"/>
      <c r="AQ1" s="568"/>
      <c r="AR1" s="139"/>
      <c r="AS1" s="571">
        <f>IF($C$20="","",$C$20)</f>
        <v>46004</v>
      </c>
      <c r="AT1" s="602" t="str">
        <f>IF($A$20="","",$A$20)</f>
        <v>Final</v>
      </c>
      <c r="AU1" s="218" t="str">
        <f>IF(B20="","",CONCATENATE("PL R",B20))</f>
        <v>PL R18</v>
      </c>
      <c r="AV1" s="564"/>
      <c r="AW1" s="568"/>
      <c r="AX1" s="139"/>
      <c r="AY1" s="139"/>
      <c r="AZ1" s="139"/>
      <c r="BA1" s="139"/>
      <c r="BB1" s="139"/>
      <c r="BC1" s="139"/>
      <c r="BD1" s="139"/>
      <c r="BE1" s="139"/>
      <c r="BF1" s="139"/>
    </row>
    <row r="2" spans="1:58">
      <c r="A2" s="57" t="s">
        <v>360</v>
      </c>
      <c r="B2" s="57">
        <f>IF(B1&lt;64,6,7)</f>
        <v>6</v>
      </c>
      <c r="C2" s="77"/>
      <c r="D2" s="77"/>
      <c r="E2" s="76"/>
      <c r="F2" s="65">
        <v>1</v>
      </c>
      <c r="G2" s="66" t="s">
        <v>349</v>
      </c>
      <c r="H2" s="58"/>
      <c r="I2" s="84">
        <v>1</v>
      </c>
      <c r="J2" s="71"/>
      <c r="K2" s="72"/>
      <c r="L2" s="73" t="str">
        <f>IF(K2="","",IF(K2=K3,"R",""))</f>
        <v/>
      </c>
      <c r="M2" s="75" t="e">
        <f>INDEX(Results!T:T,MATCH(J2,Results!V:V,0))</f>
        <v>#N/A</v>
      </c>
      <c r="N2" s="669">
        <v>1</v>
      </c>
      <c r="O2" s="689">
        <v>1</v>
      </c>
      <c r="P2" s="598" t="str">
        <f>IF(N2="","",INDEX(G:G,MATCH(N2,F:F,0)))</f>
        <v>David Dunn</v>
      </c>
      <c r="Q2" s="599">
        <v>-5.7142857142857144</v>
      </c>
      <c r="R2" s="81" t="str">
        <f>IF(Q2="","",IF(Q2=Q3,"R",""))</f>
        <v/>
      </c>
      <c r="S2" s="78">
        <f>INDEX(Results!T:T,MATCH(P2,Results!V:V,0))</f>
        <v>-4.8499999999999996</v>
      </c>
      <c r="T2" s="58"/>
      <c r="U2" s="60">
        <v>1</v>
      </c>
      <c r="V2" s="68" t="str">
        <f>IF(Q2=Q3,"Await earlier tie",IF(Q2&lt;Q3,P3,P2))</f>
        <v>David Dunn</v>
      </c>
      <c r="W2" s="72">
        <v>-4.8499999999999996</v>
      </c>
      <c r="X2" s="81" t="str">
        <f>IF(W2="","",IF(W2=W3,"R",""))</f>
        <v/>
      </c>
      <c r="Y2" s="78">
        <f>INDEX(Results!T:T,MATCH(V2,Results!V:V,0))</f>
        <v>-4.8499999999999996</v>
      </c>
      <c r="Z2" s="58"/>
      <c r="AA2" s="60">
        <v>1</v>
      </c>
      <c r="AB2" s="68" t="str">
        <f>IF(W2=W3,"Await earlier tie",IF(W2&lt;W3,V3,V2))</f>
        <v>Simon Greenhalgh</v>
      </c>
      <c r="AC2" s="91"/>
      <c r="AD2" s="73" t="str">
        <f>IF(AC2="","",IF(AC2=AC3,"R",""))</f>
        <v/>
      </c>
      <c r="AE2" s="78">
        <f>INDEX(Results!T:T,MATCH(AB2,Results!V:V,0))</f>
        <v>5.6</v>
      </c>
      <c r="AF2" s="76"/>
      <c r="AG2" s="60">
        <v>1</v>
      </c>
      <c r="AH2" s="68" t="str">
        <f>IF(AC2=AC3,"Await earlier tie",IF(AC2&lt;AC3,AB3,AB2))</f>
        <v>Await earlier tie</v>
      </c>
      <c r="AI2" s="91"/>
      <c r="AJ2" s="73" t="str">
        <f>IF(AI2="","",IF(AI2=AI3,"R",""))</f>
        <v/>
      </c>
      <c r="AK2" s="78" t="e">
        <f>INDEX(Results!T:T,MATCH(AH2,Results!V:V,0))</f>
        <v>#N/A</v>
      </c>
      <c r="AL2" s="76"/>
      <c r="AM2" s="63">
        <v>1</v>
      </c>
      <c r="AN2" s="603" t="str">
        <f>IF(AI2=AI3,"Await earlier tie",IF(AI2&lt;AI3,AH3,AH2))</f>
        <v>Await earlier tie</v>
      </c>
      <c r="AO2" s="604"/>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306</v>
      </c>
      <c r="H3" s="58"/>
      <c r="I3" s="83"/>
      <c r="J3" s="71"/>
      <c r="K3" s="72"/>
      <c r="L3" s="74"/>
      <c r="M3" s="75" t="e">
        <f>INDEX(Results!T:T,MATCH(J3,Results!V:V,0))</f>
        <v>#N/A</v>
      </c>
      <c r="N3" s="669">
        <v>2</v>
      </c>
      <c r="O3" s="684"/>
      <c r="P3" s="598" t="str">
        <f t="shared" ref="P3:P65" si="0">IF(N3="","",INDEX(G:G,MATCH(N3,F:F,0)))</f>
        <v>Tom Robinson</v>
      </c>
      <c r="Q3" s="72">
        <v>-7</v>
      </c>
      <c r="R3" s="61"/>
      <c r="S3" s="78">
        <f>INDEX(Results!T:T,MATCH(P3,Results!V:V,0))</f>
        <v>0.55555555555555536</v>
      </c>
      <c r="T3" s="58"/>
      <c r="U3" s="63"/>
      <c r="V3" s="68" t="str">
        <f>IF(Q4=Q5,"Await earlier tie",IF(Q4&lt;Q5,P5,P4))</f>
        <v>Simon Greenhalgh</v>
      </c>
      <c r="W3" s="72">
        <v>5.6</v>
      </c>
      <c r="X3" s="64"/>
      <c r="Y3" s="78">
        <f>INDEX(Results!T:T,MATCH(V3,Results!V:V,0))</f>
        <v>5.6</v>
      </c>
      <c r="Z3" s="58"/>
      <c r="AA3" s="63"/>
      <c r="AB3" s="68" t="str">
        <f>IF(W4=W5,"Await earlier tie",IF(W4&lt;W5,V5,V4))</f>
        <v>Paul Barnes</v>
      </c>
      <c r="AC3" s="91"/>
      <c r="AD3" s="64"/>
      <c r="AE3" s="78">
        <f>INDEX(Results!T:T,MATCH(AB3,Results!V:V,0))</f>
        <v>-0.8888888888888884</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18</v>
      </c>
      <c r="C4" s="77"/>
      <c r="D4" s="77"/>
      <c r="E4" s="76"/>
      <c r="F4" s="65">
        <v>3</v>
      </c>
      <c r="G4" s="66" t="s">
        <v>291</v>
      </c>
      <c r="H4" s="58"/>
      <c r="I4" s="84">
        <v>2</v>
      </c>
      <c r="J4" s="71"/>
      <c r="K4" s="72"/>
      <c r="L4" s="73" t="str">
        <f>IF(K4="","",IF(K4=K5,"R",""))</f>
        <v/>
      </c>
      <c r="M4" s="75" t="e">
        <f>INDEX(Results!T:T,MATCH(J4,Results!V:V,0))</f>
        <v>#N/A</v>
      </c>
      <c r="N4" s="669">
        <v>3</v>
      </c>
      <c r="O4" s="82">
        <v>2</v>
      </c>
      <c r="P4" s="598" t="str">
        <f t="shared" si="0"/>
        <v>Simon Greenhalgh</v>
      </c>
      <c r="Q4" s="72">
        <v>-1</v>
      </c>
      <c r="R4" s="81" t="str">
        <f>IF(Q4="","",IF(Q4=Q5,"R",""))</f>
        <v/>
      </c>
      <c r="S4" s="78">
        <f>INDEX(Results!T:T,MATCH(P4,Results!V:V,0))</f>
        <v>5.6</v>
      </c>
      <c r="T4" s="58"/>
      <c r="U4" s="60">
        <v>2</v>
      </c>
      <c r="V4" s="68" t="str">
        <f>IF(Q6=Q7,"Await earlier tie",IF(Q6&lt;Q7,P7,P6))</f>
        <v>Paul Barnes</v>
      </c>
      <c r="W4" s="72">
        <v>-0.8888888888888884</v>
      </c>
      <c r="X4" s="81" t="str">
        <f>IF(W4="","",IF(W4=W5,"R",""))</f>
        <v/>
      </c>
      <c r="Y4" s="78">
        <f>INDEX(Results!T:T,MATCH(V4,Results!V:V,0))</f>
        <v>-0.8888888888888884</v>
      </c>
      <c r="Z4" s="58"/>
      <c r="AA4" s="60">
        <v>2</v>
      </c>
      <c r="AB4" s="68" t="str">
        <f>IF(W6=W7,"Await earlier tie",IF(W6&lt;W7,V7,V6))</f>
        <v>Alick Rocca</v>
      </c>
      <c r="AC4" s="91"/>
      <c r="AD4" s="73" t="str">
        <f>IF(AC4="","",IF(AC4=AC5,"R",""))</f>
        <v/>
      </c>
      <c r="AE4" s="78">
        <f>INDEX(Results!T:T,MATCH(AB4,Results!V:V,0))</f>
        <v>-3.8</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494</v>
      </c>
      <c r="H5" s="58"/>
      <c r="I5" s="83"/>
      <c r="J5" s="71"/>
      <c r="K5" s="72"/>
      <c r="L5" s="74"/>
      <c r="M5" s="75" t="e">
        <f>INDEX(Results!T:T,MATCH(J5,Results!V:V,0))</f>
        <v>#N/A</v>
      </c>
      <c r="N5" s="669">
        <v>4</v>
      </c>
      <c r="O5" s="83"/>
      <c r="P5" s="598" t="str">
        <f t="shared" si="0"/>
        <v>Julie Dodd</v>
      </c>
      <c r="Q5" s="72">
        <v>-5.1666666666666661</v>
      </c>
      <c r="R5" s="61"/>
      <c r="S5" s="78">
        <f>INDEX(Results!T:T,MATCH(P5,Results!V:V,0))</f>
        <v>-0.75499999999999989</v>
      </c>
      <c r="T5" s="58"/>
      <c r="U5" s="63"/>
      <c r="V5" s="68" t="str">
        <f>IF(Q9=Q8,"Await earlier tie",IF(Q8&lt;Q9,P9,P8))</f>
        <v>Chris Luck</v>
      </c>
      <c r="W5" s="72">
        <v>-4.8499999999999996</v>
      </c>
      <c r="X5" s="64"/>
      <c r="Y5" s="78">
        <f>INDEX(Results!T:T,MATCH(V5,Results!V:V,0))</f>
        <v>-4.8499999999999996</v>
      </c>
      <c r="Z5" s="58"/>
      <c r="AA5" s="63"/>
      <c r="AB5" s="68" t="str">
        <f>IF(W8=W9,"Await earlier tie",IF(W8&lt;W9,V9,V8))</f>
        <v>Chris Bow</v>
      </c>
      <c r="AC5" s="91"/>
      <c r="AD5" s="64"/>
      <c r="AE5" s="78">
        <f>INDEX(Results!T:T,MATCH(AB5,Results!V:V,0))</f>
        <v>24.64</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426</v>
      </c>
      <c r="B6" s="57">
        <f>(B1-B4)/2</f>
        <v>14</v>
      </c>
      <c r="C6" s="77"/>
      <c r="D6" s="77"/>
      <c r="E6" s="76"/>
      <c r="F6" s="65">
        <v>5</v>
      </c>
      <c r="G6" s="66" t="s">
        <v>283</v>
      </c>
      <c r="H6" s="58"/>
      <c r="I6" s="84">
        <v>3</v>
      </c>
      <c r="J6" s="71"/>
      <c r="K6" s="72"/>
      <c r="L6" s="73" t="str">
        <f>IF(K6="","",IF(K6=K7,"R",""))</f>
        <v/>
      </c>
      <c r="M6" s="75" t="e">
        <f>INDEX(Results!T:T,MATCH(J6,Results!V:V,0))</f>
        <v>#N/A</v>
      </c>
      <c r="N6" s="669">
        <v>5</v>
      </c>
      <c r="O6" s="84">
        <v>3</v>
      </c>
      <c r="P6" s="598" t="str">
        <f t="shared" si="0"/>
        <v>Gareth Powell</v>
      </c>
      <c r="Q6" s="72">
        <v>-7</v>
      </c>
      <c r="R6" s="81" t="str">
        <f>IF(Q6="","",IF(Q6=Q7,"R",""))</f>
        <v/>
      </c>
      <c r="S6" s="78">
        <f>INDEX(Results!T:T,MATCH(P6,Results!V:V,0))</f>
        <v>-4.8499999999999996</v>
      </c>
      <c r="T6" s="58"/>
      <c r="U6" s="60">
        <v>3</v>
      </c>
      <c r="V6" s="68" t="str">
        <f>IF(Q10=Q11,"Await earlier tie",IF(Q10&lt;Q11,P11,P10))</f>
        <v>Nick Blocksidge</v>
      </c>
      <c r="W6" s="72">
        <v>-5.5555555555555554</v>
      </c>
      <c r="X6" s="81" t="str">
        <f>IF(W6="","",IF(W6=W7,"R",""))</f>
        <v/>
      </c>
      <c r="Y6" s="78">
        <f>INDEX(Results!T:T,MATCH(V6,Results!V:V,0))</f>
        <v>-5.5555555555555554</v>
      </c>
      <c r="Z6" s="58"/>
      <c r="AA6" s="60">
        <v>3</v>
      </c>
      <c r="AB6" s="68" t="str">
        <f>IF(W10=W11,"Await earlier tie",IF(W10&lt;W11,V11,V10))</f>
        <v>Mark Bunn</v>
      </c>
      <c r="AC6" s="91"/>
      <c r="AD6" s="73" t="str">
        <f>IF(AC6="","",IF(AC6=AC7,"R",""))</f>
        <v/>
      </c>
      <c r="AE6" s="78">
        <f>INDEX(Results!T:T,MATCH(AB6,Results!V:V,0))</f>
        <v>2.5399999999999991</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338" t="s">
        <v>490</v>
      </c>
      <c r="AT6" s="103"/>
      <c r="AU6" s="103"/>
      <c r="AV6" s="103"/>
      <c r="AW6" s="79"/>
      <c r="AX6" s="76"/>
      <c r="AY6" s="76"/>
      <c r="AZ6" s="76"/>
      <c r="BA6" s="76"/>
      <c r="BB6" s="76"/>
      <c r="BC6" s="76"/>
      <c r="BD6" s="76"/>
      <c r="BE6" s="76"/>
      <c r="BF6" s="76"/>
    </row>
    <row r="7" spans="1:58">
      <c r="A7" s="57"/>
      <c r="B7" s="57"/>
      <c r="C7" s="77"/>
      <c r="D7" s="77"/>
      <c r="E7" s="76"/>
      <c r="F7" s="65">
        <v>6</v>
      </c>
      <c r="G7" s="66" t="s">
        <v>286</v>
      </c>
      <c r="H7" s="58"/>
      <c r="I7" s="83"/>
      <c r="J7" s="71"/>
      <c r="K7" s="72"/>
      <c r="L7" s="74"/>
      <c r="M7" s="75" t="e">
        <f>INDEX(Results!T:T,MATCH(J7,Results!V:V,0))</f>
        <v>#N/A</v>
      </c>
      <c r="N7" s="669">
        <v>6</v>
      </c>
      <c r="O7" s="83"/>
      <c r="P7" s="598" t="str">
        <f t="shared" si="0"/>
        <v>Paul Barnes</v>
      </c>
      <c r="Q7" s="72">
        <v>-5.2</v>
      </c>
      <c r="R7" s="61"/>
      <c r="S7" s="78">
        <f>INDEX(Results!T:T,MATCH(P7,Results!V:V,0))</f>
        <v>-0.8888888888888884</v>
      </c>
      <c r="T7" s="58"/>
      <c r="U7" s="63"/>
      <c r="V7" s="68" t="str">
        <f>IF(Q12=Q13,"Await earlier tie",IF(Q12&lt;Q13,P13,P12))</f>
        <v>Alick Rocca</v>
      </c>
      <c r="W7" s="72">
        <v>-3.8</v>
      </c>
      <c r="X7" s="64"/>
      <c r="Y7" s="78">
        <f>INDEX(Results!T:T,MATCH(V7,Results!V:V,0))</f>
        <v>-3.8</v>
      </c>
      <c r="Z7" s="58"/>
      <c r="AA7" s="63"/>
      <c r="AB7" s="68" t="str">
        <f>IF(W12=W13,"Await earlier tie",IF(W12&lt;W13,V13,V12))</f>
        <v>Rob England</v>
      </c>
      <c r="AC7" s="91"/>
      <c r="AD7" s="64"/>
      <c r="AE7" s="78">
        <f>INDEX(Results!T:T,MATCH(AB7,Results!V:V,0))</f>
        <v>-0.88888888888888928</v>
      </c>
      <c r="AF7" s="76"/>
      <c r="AG7" s="63"/>
      <c r="AH7" s="68" t="str">
        <f>IF(AC12=AC13,"Await earlier tie",IF(AC12&lt;AC13,AB13,AB12))</f>
        <v>Await earlier tie</v>
      </c>
      <c r="AI7" s="91"/>
      <c r="AJ7" s="64"/>
      <c r="AK7" s="78" t="e">
        <f>INDEX(Results!T:T,MATCH(AH7,Results!V:V,0))</f>
        <v>#N/A</v>
      </c>
      <c r="AL7" s="76"/>
      <c r="AM7" s="338" t="s">
        <v>490</v>
      </c>
      <c r="AN7" s="103"/>
      <c r="AO7" s="103"/>
      <c r="AP7" s="103"/>
      <c r="AQ7" s="80"/>
      <c r="AR7" s="76"/>
      <c r="AS7" s="683"/>
      <c r="AT7" s="550"/>
      <c r="AU7" s="551"/>
      <c r="AV7" s="81" t="str">
        <f>IF(AU7="","",IF(AU7=AU8,"R",""))</f>
        <v/>
      </c>
      <c r="AW7" s="79"/>
      <c r="AX7" s="76"/>
      <c r="AY7" s="76"/>
      <c r="AZ7" s="76"/>
      <c r="BA7" s="76"/>
      <c r="BB7" s="76"/>
      <c r="BC7" s="76"/>
      <c r="BD7" s="76"/>
      <c r="BE7" s="76"/>
      <c r="BF7" s="76"/>
    </row>
    <row r="8" spans="1:58">
      <c r="A8" s="57" t="s">
        <v>129</v>
      </c>
      <c r="B8" s="57" t="s">
        <v>428</v>
      </c>
      <c r="C8" s="77"/>
      <c r="D8" s="77"/>
      <c r="E8" s="76"/>
      <c r="F8" s="65">
        <v>7</v>
      </c>
      <c r="G8" s="66" t="s">
        <v>298</v>
      </c>
      <c r="H8" s="58"/>
      <c r="I8" s="84">
        <v>4</v>
      </c>
      <c r="J8" s="71"/>
      <c r="K8" s="72"/>
      <c r="L8" s="73" t="str">
        <f>IF(K8="","",IF(K8=K9,"R",""))</f>
        <v/>
      </c>
      <c r="M8" s="75" t="e">
        <f>INDEX(Results!T:T,MATCH(J8,Results!V:V,0))</f>
        <v>#N/A</v>
      </c>
      <c r="N8" s="669">
        <v>7</v>
      </c>
      <c r="O8" s="84">
        <v>4</v>
      </c>
      <c r="P8" s="598" t="str">
        <f t="shared" si="0"/>
        <v>Chris Luck</v>
      </c>
      <c r="Q8" s="72">
        <v>-4.7</v>
      </c>
      <c r="R8" s="81" t="str">
        <f>IF(Q8="","",IF(Q8=Q9,"R",""))</f>
        <v/>
      </c>
      <c r="S8" s="78">
        <f>INDEX(Results!T:T,MATCH(P8,Results!V:V,0))</f>
        <v>-4.8499999999999996</v>
      </c>
      <c r="T8" s="58"/>
      <c r="U8" s="60">
        <v>4</v>
      </c>
      <c r="V8" s="68" t="str">
        <f>IF(Q14=Q15,"Await earlier tie",IF(Q14&lt;Q15,P15,P14))</f>
        <v>Bob Bailey</v>
      </c>
      <c r="W8" s="72">
        <v>1.0181818181818194</v>
      </c>
      <c r="X8" s="81" t="str">
        <f>IF(W8="","",IF(W8=W9,"R",""))</f>
        <v/>
      </c>
      <c r="Y8" s="78">
        <f>INDEX(Results!T:T,MATCH(V8,Results!V:V,0))</f>
        <v>1.0181818181818194</v>
      </c>
      <c r="Z8" s="58"/>
      <c r="AA8" s="60">
        <v>4</v>
      </c>
      <c r="AB8" s="68" t="str">
        <f>IF(W14=W15,"Await earlier tie",IF(W14&lt;W15,V15,V14))</f>
        <v>Paul Fairhurst</v>
      </c>
      <c r="AC8" s="91"/>
      <c r="AD8" s="73" t="str">
        <f>IF(AC8="","",IF(AC8=AC9,"R",""))</f>
        <v/>
      </c>
      <c r="AE8" s="78">
        <f>INDEX(Results!T:T,MATCH(AB8,Results!V:V,0))</f>
        <v>11.270000000000003</v>
      </c>
      <c r="AF8" s="76"/>
      <c r="AG8" s="60">
        <v>4</v>
      </c>
      <c r="AH8" s="68" t="str">
        <f>IF(AC14=AC15,"Await earlier tie",IF(AC14&lt;AC15,AB15,AB14))</f>
        <v>Await earlier tie</v>
      </c>
      <c r="AI8" s="91"/>
      <c r="AJ8" s="73" t="str">
        <f>IF(AI8="","",IF(AI8=AI9,"R",""))</f>
        <v/>
      </c>
      <c r="AK8" s="78" t="e">
        <f>INDEX(Results!T:T,MATCH(AH8,Results!V:V,0))</f>
        <v>#N/A</v>
      </c>
      <c r="AL8" s="76"/>
      <c r="AM8" s="683"/>
      <c r="AN8" s="68"/>
      <c r="AO8" s="91"/>
      <c r="AP8" s="81"/>
      <c r="AQ8" s="80"/>
      <c r="AR8" s="76"/>
      <c r="AS8" s="684"/>
      <c r="AT8" s="550"/>
      <c r="AU8" s="551"/>
      <c r="AV8" s="61"/>
      <c r="AW8" s="79"/>
      <c r="AX8" s="76"/>
      <c r="AY8" s="76"/>
      <c r="AZ8" s="76"/>
      <c r="BA8" s="76"/>
      <c r="BB8" s="76"/>
      <c r="BC8" s="76"/>
      <c r="BD8" s="76"/>
      <c r="BE8" s="76"/>
      <c r="BF8" s="76"/>
    </row>
    <row r="9" spans="1:58">
      <c r="A9" s="76"/>
      <c r="B9" s="76"/>
      <c r="C9" s="77"/>
      <c r="D9" s="77"/>
      <c r="E9" s="76"/>
      <c r="F9" s="65">
        <v>8</v>
      </c>
      <c r="G9" s="66" t="s">
        <v>353</v>
      </c>
      <c r="H9" s="58"/>
      <c r="I9" s="83"/>
      <c r="J9" s="71"/>
      <c r="K9" s="72"/>
      <c r="L9" s="74"/>
      <c r="M9" s="75" t="e">
        <f>INDEX(Results!T:T,MATCH(J9,Results!V:V,0))</f>
        <v>#N/A</v>
      </c>
      <c r="N9" s="669">
        <v>8</v>
      </c>
      <c r="O9" s="83"/>
      <c r="P9" s="598" t="str">
        <f t="shared" si="0"/>
        <v>Dave Bell</v>
      </c>
      <c r="Q9" s="72">
        <v>-5.25</v>
      </c>
      <c r="R9" s="61"/>
      <c r="S9" s="78">
        <f>INDEX(Results!T:T,MATCH(P9,Results!V:V,0))</f>
        <v>-7</v>
      </c>
      <c r="T9" s="58"/>
      <c r="U9" s="63"/>
      <c r="V9" s="68" t="str">
        <f>IF(Q16=Q17,"Await earlier tie",IF(Q16&lt;Q17,P17,P16))</f>
        <v>Chris Bow</v>
      </c>
      <c r="W9" s="72">
        <v>24.64</v>
      </c>
      <c r="X9" s="64"/>
      <c r="Y9" s="78">
        <f>INDEX(Results!T:T,MATCH(V9,Results!V:V,0))</f>
        <v>24.64</v>
      </c>
      <c r="Z9" s="58"/>
      <c r="AA9" s="63"/>
      <c r="AB9" s="68" t="str">
        <f>IF(W16=W17,"Await earlier tie",IF(W16&lt;W17,V17,V16))</f>
        <v>Steve Carter</v>
      </c>
      <c r="AC9" s="91"/>
      <c r="AD9" s="64"/>
      <c r="AE9" s="78">
        <f>INDEX(Results!T:T,MATCH(AB9,Results!V:V,0))</f>
        <v>2.7100000000000009</v>
      </c>
      <c r="AF9" s="76"/>
      <c r="AG9" s="67"/>
      <c r="AH9" s="68" t="str">
        <f>IF(AC16=AC17,"Await earlier tie",IF(AC16&lt;AC17,AB17,AB16))</f>
        <v>Await earlier tie</v>
      </c>
      <c r="AI9" s="91"/>
      <c r="AJ9" s="61"/>
      <c r="AK9" s="78" t="e">
        <f>INDEX(Results!T:T,MATCH(AH9,Results!V:V,0))</f>
        <v>#N/A</v>
      </c>
      <c r="AL9" s="76"/>
      <c r="AM9" s="684"/>
      <c r="AN9" s="68"/>
      <c r="AO9" s="91"/>
      <c r="AP9" s="61"/>
      <c r="AQ9" s="80"/>
      <c r="AR9" s="76"/>
      <c r="AS9" s="82"/>
      <c r="AT9" s="550"/>
      <c r="AU9" s="551"/>
      <c r="AV9" s="81" t="str">
        <f>IF(AU9="","",IF(AU9=AU10,"R",""))</f>
        <v/>
      </c>
      <c r="AW9" s="79"/>
      <c r="AX9" s="76"/>
      <c r="AY9" s="76"/>
      <c r="AZ9" s="76"/>
      <c r="BA9" s="76"/>
      <c r="BB9" s="76"/>
      <c r="BC9" s="76"/>
      <c r="BD9" s="76"/>
      <c r="BE9" s="76"/>
      <c r="BF9" s="76"/>
    </row>
    <row r="10" spans="1:58">
      <c r="A10" s="76"/>
      <c r="B10" s="76"/>
      <c r="C10" s="77"/>
      <c r="D10" s="77"/>
      <c r="E10" s="76"/>
      <c r="F10" s="65">
        <v>9</v>
      </c>
      <c r="G10" s="66" t="s">
        <v>268</v>
      </c>
      <c r="H10" s="58"/>
      <c r="I10" s="84">
        <v>5</v>
      </c>
      <c r="J10" s="71"/>
      <c r="K10" s="72"/>
      <c r="L10" s="73" t="str">
        <f>IF(K10="","",IF(K10=K11,"R",""))</f>
        <v/>
      </c>
      <c r="M10" s="75" t="e">
        <f>INDEX(Results!T:T,MATCH(J10,Results!V:V,0))</f>
        <v>#N/A</v>
      </c>
      <c r="N10" s="669">
        <v>9</v>
      </c>
      <c r="O10" s="84">
        <v>5</v>
      </c>
      <c r="P10" s="598" t="str">
        <f t="shared" si="0"/>
        <v>Paul Allen</v>
      </c>
      <c r="Q10" s="72">
        <v>-10</v>
      </c>
      <c r="R10" s="81" t="str">
        <f>IF(Q10="","",IF(Q10=Q11,"R",""))</f>
        <v/>
      </c>
      <c r="S10" s="78">
        <f>INDEX(Results!T:T,MATCH(P10,Results!V:V,0))</f>
        <v>-3.8</v>
      </c>
      <c r="T10" s="58"/>
      <c r="U10" s="60">
        <v>5</v>
      </c>
      <c r="V10" s="68" t="str">
        <f>IF(Q18=Q19,"Await earlier tie",IF(Q18&lt;Q19,P19,P18))</f>
        <v>Mark Bunn</v>
      </c>
      <c r="W10" s="72">
        <v>2.5399999999999991</v>
      </c>
      <c r="X10" s="81" t="str">
        <f>IF(W10="","",IF(W10=W11,"R",""))</f>
        <v/>
      </c>
      <c r="Y10" s="78">
        <f>INDEX(Results!T:T,MATCH(V10,Results!V:V,0))</f>
        <v>2.5399999999999991</v>
      </c>
      <c r="Z10" s="58"/>
      <c r="AA10" s="60">
        <v>5</v>
      </c>
      <c r="AB10" s="68" t="str">
        <f>IF(W18=W19,"Await earlier tie",IF(W18&lt;W19,V19,V18))</f>
        <v>Andy White</v>
      </c>
      <c r="AC10" s="91"/>
      <c r="AD10" s="73" t="str">
        <f>IF(AC10="","",IF(AC10=AC11,"R",""))</f>
        <v/>
      </c>
      <c r="AE10" s="78">
        <f>INDEX(Results!T:T,MATCH(AB10,Results!V:V,0))</f>
        <v>23.156363636363636</v>
      </c>
      <c r="AF10" s="76"/>
      <c r="AG10" s="76"/>
      <c r="AH10" s="76"/>
      <c r="AI10" s="87"/>
      <c r="AJ10" s="76"/>
      <c r="AK10" s="80"/>
      <c r="AL10" s="76"/>
      <c r="AM10" s="82"/>
      <c r="AN10" s="68"/>
      <c r="AO10" s="72"/>
      <c r="AP10" s="81"/>
      <c r="AQ10" s="80"/>
      <c r="AR10" s="76"/>
      <c r="AS10" s="83"/>
      <c r="AT10" s="550"/>
      <c r="AU10" s="551"/>
      <c r="AV10" s="61"/>
      <c r="AW10" s="79"/>
      <c r="AX10" s="76"/>
      <c r="AY10" s="76"/>
      <c r="AZ10" s="76"/>
      <c r="BA10" s="76"/>
      <c r="BB10" s="76"/>
      <c r="BC10" s="76"/>
      <c r="BD10" s="76"/>
      <c r="BE10" s="76"/>
      <c r="BF10" s="76"/>
    </row>
    <row r="11" spans="1:58">
      <c r="A11" s="85" t="s">
        <v>143</v>
      </c>
      <c r="B11" s="76"/>
      <c r="C11" s="77"/>
      <c r="D11" s="77"/>
      <c r="E11" s="76"/>
      <c r="F11" s="65">
        <v>10</v>
      </c>
      <c r="G11" s="66" t="s">
        <v>351</v>
      </c>
      <c r="H11" s="58"/>
      <c r="I11" s="83"/>
      <c r="J11" s="71"/>
      <c r="K11" s="72"/>
      <c r="L11" s="74"/>
      <c r="M11" s="75" t="e">
        <f>INDEX(Results!T:T,MATCH(J11,Results!V:V,0))</f>
        <v>#N/A</v>
      </c>
      <c r="N11" s="669">
        <v>10</v>
      </c>
      <c r="O11" s="83"/>
      <c r="P11" s="598" t="str">
        <f t="shared" si="0"/>
        <v>Nick Blocksidge</v>
      </c>
      <c r="Q11" s="72">
        <v>2.25</v>
      </c>
      <c r="R11" s="61"/>
      <c r="S11" s="78">
        <f>INDEX(Results!T:T,MATCH(P11,Results!V:V,0))</f>
        <v>-5.5555555555555554</v>
      </c>
      <c r="T11" s="58"/>
      <c r="U11" s="63"/>
      <c r="V11" s="68" t="str">
        <f>IF(Q20=Q21,"Await earlier tie",IF(Q20&lt;Q21,P21,P20))</f>
        <v>Paul Adderley</v>
      </c>
      <c r="W11" s="72">
        <v>-1.8666666666666671</v>
      </c>
      <c r="X11" s="64"/>
      <c r="Y11" s="78">
        <f>INDEX(Results!T:T,MATCH(V11,Results!V:V,0))</f>
        <v>-1.8666666666666671</v>
      </c>
      <c r="Z11" s="58"/>
      <c r="AA11" s="63"/>
      <c r="AB11" s="68" t="str">
        <f>IF(W20=W21,"Await earlier tie",IF(W20&lt;W21,V21,V20))</f>
        <v>Barry Birchall</v>
      </c>
      <c r="AC11" s="91"/>
      <c r="AD11" s="64"/>
      <c r="AE11" s="78">
        <f>INDEX(Results!T:T,MATCH(AB11,Results!V:V,0))</f>
        <v>-1.4814814814814827</v>
      </c>
      <c r="AF11" s="76"/>
      <c r="AG11" s="76"/>
      <c r="AH11" s="76"/>
      <c r="AI11" s="87"/>
      <c r="AJ11" s="76"/>
      <c r="AK11" s="80"/>
      <c r="AL11" s="76"/>
      <c r="AM11" s="83"/>
      <c r="AN11" s="68"/>
      <c r="AO11" s="72"/>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274</v>
      </c>
      <c r="H12" s="58"/>
      <c r="I12" s="84">
        <v>6</v>
      </c>
      <c r="J12" s="71"/>
      <c r="K12" s="72"/>
      <c r="L12" s="73" t="str">
        <f>IF(K12="","",IF(K12=K13,"R",""))</f>
        <v/>
      </c>
      <c r="M12" s="75" t="e">
        <f>INDEX(Results!T:T,MATCH(J12,Results!V:V,0))</f>
        <v>#N/A</v>
      </c>
      <c r="N12" s="669">
        <v>11</v>
      </c>
      <c r="O12" s="84">
        <v>6</v>
      </c>
      <c r="P12" s="598" t="str">
        <f t="shared" si="0"/>
        <v>Martin Molyneux</v>
      </c>
      <c r="Q12" s="72">
        <v>-3.7</v>
      </c>
      <c r="R12" s="81" t="str">
        <f>IF(Q12="","",IF(Q12=Q13,"R",""))</f>
        <v/>
      </c>
      <c r="S12" s="78">
        <f>INDEX(Results!T:T,MATCH(P12,Results!V:V,0))</f>
        <v>1.163636363636364</v>
      </c>
      <c r="T12" s="58"/>
      <c r="U12" s="60">
        <v>6</v>
      </c>
      <c r="V12" s="68" t="str">
        <f>IF(Q22=Q23,"Await earlier tie",IF(Q22&lt;Q23,P23,P22))</f>
        <v>Mike Penk</v>
      </c>
      <c r="W12" s="72">
        <v>-5.15</v>
      </c>
      <c r="X12" s="81" t="str">
        <f>IF(W12="","",IF(W12=W13,"R",""))</f>
        <v/>
      </c>
      <c r="Y12" s="78">
        <f>INDEX(Results!T:T,MATCH(V12,Results!V:V,0))</f>
        <v>-5.15</v>
      </c>
      <c r="Z12" s="58"/>
      <c r="AA12" s="60">
        <v>6</v>
      </c>
      <c r="AB12" s="68" t="str">
        <f>IF(W22=W23,"Await earlier tie",IF(W22&lt;W23,V23,V22))</f>
        <v>Ben Rosser</v>
      </c>
      <c r="AC12" s="91"/>
      <c r="AD12" s="73" t="str">
        <f>IF(AC12="","",IF(AC12=AC13,"R",""))</f>
        <v/>
      </c>
      <c r="AE12" s="78">
        <f>INDEX(Results!T:T,MATCH(AB12,Results!V:V,0))</f>
        <v>4.2181818181818187</v>
      </c>
      <c r="AF12" s="76"/>
      <c r="AG12" s="338" t="s">
        <v>490</v>
      </c>
      <c r="AH12" s="103"/>
      <c r="AI12" s="628"/>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38" t="s">
        <v>431</v>
      </c>
      <c r="C13" s="467" t="s">
        <v>30</v>
      </c>
      <c r="D13" s="468" t="s">
        <v>468</v>
      </c>
      <c r="E13" s="76"/>
      <c r="F13" s="65">
        <v>12</v>
      </c>
      <c r="G13" s="66" t="s">
        <v>300</v>
      </c>
      <c r="H13" s="58"/>
      <c r="I13" s="83"/>
      <c r="J13" s="71"/>
      <c r="K13" s="72"/>
      <c r="L13" s="74"/>
      <c r="M13" s="75" t="e">
        <f>INDEX(Results!T:T,MATCH(J13,Results!V:V,0))</f>
        <v>#N/A</v>
      </c>
      <c r="N13" s="669">
        <v>12</v>
      </c>
      <c r="O13" s="83"/>
      <c r="P13" s="598" t="str">
        <f t="shared" si="0"/>
        <v>Alick Rocca</v>
      </c>
      <c r="Q13" s="72">
        <v>-1.6444444444444439</v>
      </c>
      <c r="R13" s="61"/>
      <c r="S13" s="78">
        <f>INDEX(Results!T:T,MATCH(P13,Results!V:V,0))</f>
        <v>-3.8</v>
      </c>
      <c r="T13" s="58"/>
      <c r="U13" s="63"/>
      <c r="V13" s="68" t="str">
        <f>IF(Q24=Q25,"Await earlier tie",IF(Q24&lt;Q25,P25,P24))</f>
        <v>Rob England</v>
      </c>
      <c r="W13" s="72">
        <v>-0.88888888888888928</v>
      </c>
      <c r="X13" s="64"/>
      <c r="Y13" s="78">
        <f>INDEX(Results!T:T,MATCH(V13,Results!V:V,0))</f>
        <v>-0.88888888888888928</v>
      </c>
      <c r="Z13" s="58"/>
      <c r="AA13" s="63"/>
      <c r="AB13" s="68" t="str">
        <f>IF(W24=W25,"Await earlier tie",IF(W24&lt;W25,V25,V24))</f>
        <v>Martin Tarbuck</v>
      </c>
      <c r="AC13" s="91"/>
      <c r="AD13" s="64"/>
      <c r="AE13" s="78">
        <f>INDEX(Results!T:T,MATCH(AB13,Results!V:V,0))</f>
        <v>9.1120000000000019</v>
      </c>
      <c r="AF13" s="76"/>
      <c r="AG13" s="60"/>
      <c r="AH13" s="70"/>
      <c r="AI13" s="72"/>
      <c r="AJ13" s="81" t="s">
        <v>542</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427</v>
      </c>
      <c r="B14" s="338"/>
      <c r="C14" s="467" t="str">
        <f>IF(B14="","",INDEX(Diary!B:B,MATCH(B14,Diary!C:C,0)))</f>
        <v/>
      </c>
      <c r="D14" s="338"/>
      <c r="E14" s="76"/>
      <c r="F14" s="65">
        <v>13</v>
      </c>
      <c r="G14" s="66" t="s">
        <v>273</v>
      </c>
      <c r="H14" s="58"/>
      <c r="I14" s="84">
        <v>7</v>
      </c>
      <c r="J14" s="71"/>
      <c r="K14" s="72"/>
      <c r="L14" s="73" t="str">
        <f>IF(K14="","",IF(K14=K15,"R",""))</f>
        <v/>
      </c>
      <c r="M14" s="75" t="e">
        <f>INDEX(Results!T:T,MATCH(J14,Results!V:V,0))</f>
        <v>#N/A</v>
      </c>
      <c r="N14" s="669">
        <v>13</v>
      </c>
      <c r="O14" s="84">
        <v>7</v>
      </c>
      <c r="P14" s="598" t="str">
        <f t="shared" si="0"/>
        <v>Graham Miller</v>
      </c>
      <c r="Q14" s="72">
        <v>-4.95</v>
      </c>
      <c r="R14" s="81" t="str">
        <f>IF(Q14="","",IF(Q14=Q15,"R",""))</f>
        <v/>
      </c>
      <c r="S14" s="78">
        <f>INDEX(Results!T:T,MATCH(P14,Results!V:V,0))</f>
        <v>-7</v>
      </c>
      <c r="T14" s="58"/>
      <c r="U14" s="60">
        <v>7</v>
      </c>
      <c r="V14" s="68" t="str">
        <f>IF(Q26=Q27,"Await earlier tie",IF(Q26&lt;Q27,P27,P26))</f>
        <v>Paul Fairhurst</v>
      </c>
      <c r="W14" s="72">
        <v>11.270000000000003</v>
      </c>
      <c r="X14" s="81" t="str">
        <f>IF(W14="","",IF(W14=W15,"R",""))</f>
        <v/>
      </c>
      <c r="Y14" s="78">
        <f>INDEX(Results!T:T,MATCH(V14,Results!V:V,0))</f>
        <v>11.270000000000003</v>
      </c>
      <c r="Z14" s="58"/>
      <c r="AA14" s="60">
        <v>7</v>
      </c>
      <c r="AB14" s="68" t="str">
        <f>IF(W26=W27,"Await earlier tie",IF(W26&lt;W27,V27,V26))</f>
        <v>Gerard Ventom</v>
      </c>
      <c r="AC14" s="91"/>
      <c r="AD14" s="73" t="str">
        <f>IF(AC14="","",IF(AC14=AC15,"R",""))</f>
        <v/>
      </c>
      <c r="AE14" s="78">
        <f>INDEX(Results!T:T,MATCH(AB14,Results!V:V,0))</f>
        <v>7.120000000000001</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428</v>
      </c>
      <c r="B15" s="560">
        <v>2</v>
      </c>
      <c r="C15" s="467">
        <f>IF(B15="","",INDEX(Diary!B:B,MATCH(B15,Diary!C:C,0)))</f>
        <v>45892</v>
      </c>
      <c r="D15" s="338"/>
      <c r="E15" s="76"/>
      <c r="F15" s="65">
        <v>14</v>
      </c>
      <c r="G15" s="66" t="s">
        <v>486</v>
      </c>
      <c r="H15" s="58"/>
      <c r="I15" s="83"/>
      <c r="J15" s="71"/>
      <c r="K15" s="72"/>
      <c r="L15" s="74"/>
      <c r="M15" s="75" t="e">
        <f>INDEX(Results!T:T,MATCH(J15,Results!V:V,0))</f>
        <v>#N/A</v>
      </c>
      <c r="N15" s="669">
        <v>14</v>
      </c>
      <c r="O15" s="83"/>
      <c r="P15" s="598" t="str">
        <f t="shared" si="0"/>
        <v>Bob Bailey</v>
      </c>
      <c r="Q15" s="72">
        <v>1.4000000000000004</v>
      </c>
      <c r="R15" s="61"/>
      <c r="S15" s="78">
        <f>INDEX(Results!T:T,MATCH(P15,Results!V:V,0))</f>
        <v>1.0181818181818194</v>
      </c>
      <c r="T15" s="58"/>
      <c r="U15" s="63"/>
      <c r="V15" s="68" t="str">
        <f>IF(Q28=Q29,"Await earlier tie",IF(Q28&lt;Q29,P29,P28))</f>
        <v>Katy Savory</v>
      </c>
      <c r="W15" s="72">
        <v>-1.8666666666666671</v>
      </c>
      <c r="X15" s="64"/>
      <c r="Y15" s="78">
        <f>INDEX(Results!T:T,MATCH(V15,Results!V:V,0))</f>
        <v>-1.8666666666666671</v>
      </c>
      <c r="Z15" s="58"/>
      <c r="AA15" s="63"/>
      <c r="AB15" s="68" t="str">
        <f>IF(W28=W29,"Await earlier tie",IF(W28&lt;W29,V29,V28))</f>
        <v>Await earlier tie</v>
      </c>
      <c r="AC15" s="91"/>
      <c r="AD15" s="64"/>
      <c r="AE15" s="78" t="e">
        <f>INDEX(Results!T:T,MATCH(AB15,Results!V:V,0))</f>
        <v>#N/A</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60" t="s">
        <v>508</v>
      </c>
      <c r="C16" s="467">
        <f>IF(B16="","",INDEX(Diary!B:B,MATCH(B16,Diary!C:C,0)))</f>
        <v>45913</v>
      </c>
      <c r="D16" s="338"/>
      <c r="E16" s="76"/>
      <c r="F16" s="65">
        <v>15</v>
      </c>
      <c r="G16" s="66" t="s">
        <v>297</v>
      </c>
      <c r="H16" s="58"/>
      <c r="I16" s="84">
        <v>8</v>
      </c>
      <c r="J16" s="71"/>
      <c r="K16" s="72"/>
      <c r="L16" s="73" t="str">
        <f>IF(K16="","",IF(K16=K17,"R",""))</f>
        <v/>
      </c>
      <c r="M16" s="75" t="e">
        <f>INDEX(Results!T:T,MATCH(J16,Results!V:V,0))</f>
        <v>#N/A</v>
      </c>
      <c r="N16" s="669">
        <v>15</v>
      </c>
      <c r="O16" s="84">
        <v>8</v>
      </c>
      <c r="P16" s="598" t="str">
        <f t="shared" si="0"/>
        <v>Chris Bow</v>
      </c>
      <c r="Q16" s="72">
        <v>2.3599999999999994</v>
      </c>
      <c r="R16" s="81" t="str">
        <f>IF(Q16="","",IF(Q16=Q17,"R",""))</f>
        <v/>
      </c>
      <c r="S16" s="78">
        <f>INDEX(Results!T:T,MATCH(P16,Results!V:V,0))</f>
        <v>24.64</v>
      </c>
      <c r="T16" s="58"/>
      <c r="U16" s="60">
        <v>8</v>
      </c>
      <c r="V16" s="68" t="str">
        <f>IF(Q30=Q31,"Await earlier tie",IF(Q30&lt;Q31,P31,P30))</f>
        <v>Steve Carter</v>
      </c>
      <c r="W16" s="72">
        <v>2.7100000000000009</v>
      </c>
      <c r="X16" s="81" t="str">
        <f>IF(W16="","",IF(W16=W17,"R",""))</f>
        <v/>
      </c>
      <c r="Y16" s="78">
        <f>INDEX(Results!T:T,MATCH(V16,Results!V:V,0))</f>
        <v>2.7100000000000009</v>
      </c>
      <c r="Z16" s="58"/>
      <c r="AA16" s="60">
        <v>8</v>
      </c>
      <c r="AB16" s="68" t="str">
        <f>IF(W30=W31,"Await earlier tie",IF(W30&lt;W31,V31,V30))</f>
        <v>Steve Waterhouse</v>
      </c>
      <c r="AC16" s="91"/>
      <c r="AD16" s="73" t="str">
        <f>IF(AC16="","",IF(AC16=AC17,"R",""))</f>
        <v/>
      </c>
      <c r="AE16" s="78">
        <f>INDEX(Results!T:T,MATCH(AB16,Results!V:V,0))</f>
        <v>-4.9000000000000004</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429</v>
      </c>
      <c r="B17" s="560" t="s">
        <v>511</v>
      </c>
      <c r="C17" s="467">
        <f>IF(B17="","",INDEX(Diary!B:B,MATCH(B17,Diary!C:C,0)))</f>
        <v>45934</v>
      </c>
      <c r="D17" s="338"/>
      <c r="E17" s="76"/>
      <c r="F17" s="65">
        <v>16</v>
      </c>
      <c r="G17" s="66" t="s">
        <v>485</v>
      </c>
      <c r="H17" s="58"/>
      <c r="I17" s="83"/>
      <c r="J17" s="71"/>
      <c r="K17" s="72"/>
      <c r="L17" s="74"/>
      <c r="M17" s="75" t="e">
        <f>INDEX(Results!T:T,MATCH(J17,Results!V:V,0))</f>
        <v>#N/A</v>
      </c>
      <c r="N17" s="669">
        <v>16</v>
      </c>
      <c r="O17" s="83"/>
      <c r="P17" s="598" t="str">
        <f t="shared" si="0"/>
        <v>Alan Bond</v>
      </c>
      <c r="Q17" s="72">
        <v>-7</v>
      </c>
      <c r="R17" s="61"/>
      <c r="S17" s="78">
        <f>INDEX(Results!T:T,MATCH(P17,Results!V:V,0))</f>
        <v>-7</v>
      </c>
      <c r="T17" s="58"/>
      <c r="U17" s="63"/>
      <c r="V17" s="68" t="str">
        <f>IF(Q32=Q33,"Await earlier tie",IF(Q32&lt;Q33,P33,P32))</f>
        <v>Vinny Topping</v>
      </c>
      <c r="W17" s="72">
        <v>-7</v>
      </c>
      <c r="X17" s="64"/>
      <c r="Y17" s="78">
        <f>INDEX(Results!T:T,MATCH(V17,Results!V:V,0))</f>
        <v>-7</v>
      </c>
      <c r="Z17" s="58"/>
      <c r="AA17" s="67"/>
      <c r="AB17" s="68" t="str">
        <f>IF(W32=W33,"Await earlier tie",IF(W32&lt;W33,V33,V32))</f>
        <v>Dan Gibbard</v>
      </c>
      <c r="AC17" s="91"/>
      <c r="AD17" s="61"/>
      <c r="AE17" s="78">
        <f>INDEX(Results!T:T,MATCH(AB17,Results!V:V,0))</f>
        <v>15.5</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430</v>
      </c>
      <c r="B18" s="560" t="s">
        <v>514</v>
      </c>
      <c r="C18" s="467">
        <f>IF(B18="","",INDEX(Diary!B:B,MATCH(B18,Diary!C:C,0)))</f>
        <v>45955</v>
      </c>
      <c r="D18" s="338"/>
      <c r="E18" s="76"/>
      <c r="F18" s="65">
        <v>17</v>
      </c>
      <c r="G18" s="66" t="s">
        <v>279</v>
      </c>
      <c r="H18" s="58"/>
      <c r="I18" s="84">
        <v>9</v>
      </c>
      <c r="J18" s="71"/>
      <c r="K18" s="72"/>
      <c r="L18" s="73" t="str">
        <f>IF(K18="","",IF(K18=K19,"R",""))</f>
        <v/>
      </c>
      <c r="M18" s="75" t="e">
        <f>INDEX(Results!T:T,MATCH(J18,Results!V:V,0))</f>
        <v>#N/A</v>
      </c>
      <c r="N18" s="669">
        <v>17</v>
      </c>
      <c r="O18" s="84">
        <v>9</v>
      </c>
      <c r="P18" s="598" t="str">
        <f t="shared" si="0"/>
        <v>Mark Bunn</v>
      </c>
      <c r="Q18" s="72">
        <v>2.240000000000002</v>
      </c>
      <c r="R18" s="81" t="str">
        <f>IF(Q18="","",IF(Q18=Q19,"R",""))</f>
        <v/>
      </c>
      <c r="S18" s="78">
        <f>INDEX(Results!T:T,MATCH(P18,Results!V:V,0))</f>
        <v>2.5399999999999991</v>
      </c>
      <c r="T18" s="58"/>
      <c r="U18" s="60">
        <v>9</v>
      </c>
      <c r="V18" s="68" t="str">
        <f>IF(Q34=Q35,"Await earlier tie",IF(Q34&lt;Q35,P35,P34))</f>
        <v>Andy White</v>
      </c>
      <c r="W18" s="72">
        <v>23.156363636363636</v>
      </c>
      <c r="X18" s="81" t="str">
        <f>IF(W18="","",IF(W18=W19,"R",""))</f>
        <v/>
      </c>
      <c r="Y18" s="78">
        <f>INDEX(Results!T:T,MATCH(V18,Results!V:V,0))</f>
        <v>23.156363636363636</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60" t="s">
        <v>517</v>
      </c>
      <c r="C19" s="467">
        <f>IF(B19="","",INDEX(Diary!B:B,MATCH(B19,Diary!C:C,0)))</f>
        <v>45976</v>
      </c>
      <c r="D19" s="338"/>
      <c r="E19" s="76"/>
      <c r="F19" s="65">
        <v>18</v>
      </c>
      <c r="G19" s="66" t="s">
        <v>293</v>
      </c>
      <c r="H19" s="58"/>
      <c r="I19" s="83"/>
      <c r="J19" s="71"/>
      <c r="K19" s="72"/>
      <c r="L19" s="74"/>
      <c r="M19" s="75" t="e">
        <f>INDEX(Results!T:T,MATCH(J19,Results!V:V,0))</f>
        <v>#N/A</v>
      </c>
      <c r="N19" s="669">
        <v>18</v>
      </c>
      <c r="O19" s="83"/>
      <c r="P19" s="598" t="str">
        <f t="shared" si="0"/>
        <v>Charlie Griffiths</v>
      </c>
      <c r="Q19" s="72">
        <v>-4.8</v>
      </c>
      <c r="R19" s="61"/>
      <c r="S19" s="78">
        <f>INDEX(Results!T:T,MATCH(P19,Results!V:V,0))</f>
        <v>7.0500000000000007</v>
      </c>
      <c r="T19" s="58"/>
      <c r="U19" s="63"/>
      <c r="V19" s="68" t="str">
        <f>IF(Q36=Q37,"Await earlier tie",IF(Q36&lt;Q37,P37,P36))</f>
        <v>Kevin Carter</v>
      </c>
      <c r="W19" s="72">
        <v>-7</v>
      </c>
      <c r="X19" s="64"/>
      <c r="Y19" s="78">
        <f>INDEX(Results!T:T,MATCH(V19,Results!V:V,0))</f>
        <v>-7</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60" t="s">
        <v>520</v>
      </c>
      <c r="C20" s="467">
        <f>IF(B20="","",INDEX(Diary!B:B,MATCH(B20,Diary!C:C,0)))</f>
        <v>46004</v>
      </c>
      <c r="D20" s="338"/>
      <c r="E20" s="76"/>
      <c r="F20" s="65">
        <v>19</v>
      </c>
      <c r="G20" s="66" t="s">
        <v>277</v>
      </c>
      <c r="H20" s="58"/>
      <c r="I20" s="84">
        <v>10</v>
      </c>
      <c r="J20" s="71"/>
      <c r="K20" s="72"/>
      <c r="L20" s="73" t="str">
        <f>IF(K20="","",IF(K20=K21,"R",""))</f>
        <v/>
      </c>
      <c r="M20" s="75" t="e">
        <f>INDEX(Results!T:T,MATCH(J20,Results!V:V,0))</f>
        <v>#N/A</v>
      </c>
      <c r="N20" s="669">
        <v>19</v>
      </c>
      <c r="O20" s="84">
        <v>10</v>
      </c>
      <c r="P20" s="598" t="str">
        <f t="shared" si="0"/>
        <v>Paul Adderley</v>
      </c>
      <c r="Q20" s="72">
        <v>16.150000000000002</v>
      </c>
      <c r="R20" s="81" t="str">
        <f>IF(Q20="","",IF(Q20=Q21,"R",""))</f>
        <v/>
      </c>
      <c r="S20" s="78">
        <f>INDEX(Results!T:T,MATCH(P20,Results!V:V,0))</f>
        <v>-1.8666666666666671</v>
      </c>
      <c r="T20" s="58"/>
      <c r="U20" s="60">
        <v>10</v>
      </c>
      <c r="V20" s="68" t="str">
        <f>IF(Q38=Q39,"Await earlier tie",IF(Q38&lt;Q39,P39,P38))</f>
        <v>Jack Walsh</v>
      </c>
      <c r="W20" s="72">
        <v>-5.7</v>
      </c>
      <c r="X20" s="81" t="str">
        <f>IF(W20="","",IF(W20=W21,"R",""))</f>
        <v/>
      </c>
      <c r="Y20" s="78">
        <f>INDEX(Results!T:T,MATCH(V20,Results!V:V,0))</f>
        <v>-5.7</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275</v>
      </c>
      <c r="H21" s="58"/>
      <c r="I21" s="83"/>
      <c r="J21" s="71"/>
      <c r="K21" s="72"/>
      <c r="L21" s="74"/>
      <c r="M21" s="75" t="e">
        <f>INDEX(Results!T:T,MATCH(J21,Results!V:V,0))</f>
        <v>#N/A</v>
      </c>
      <c r="N21" s="669">
        <v>20</v>
      </c>
      <c r="O21" s="83"/>
      <c r="P21" s="598" t="str">
        <f t="shared" si="0"/>
        <v>Mark Saunders</v>
      </c>
      <c r="Q21" s="72">
        <v>-5.7142857142857144</v>
      </c>
      <c r="R21" s="61"/>
      <c r="S21" s="78">
        <f>INDEX(Results!T:T,MATCH(P21,Results!V:V,0))</f>
        <v>-7</v>
      </c>
      <c r="T21" s="58"/>
      <c r="U21" s="63"/>
      <c r="V21" s="68" t="str">
        <f>IF(Q40=Q41,"Await earlier tie",IF(Q40&lt;Q41,P41,P40))</f>
        <v>Barry Birchall</v>
      </c>
      <c r="W21" s="72">
        <v>-1.4814814814814827</v>
      </c>
      <c r="X21" s="64"/>
      <c r="Y21" s="78">
        <f>INDEX(Results!T:T,MATCH(V21,Results!V:V,0))</f>
        <v>-1.4814814814814827</v>
      </c>
      <c r="Z21" s="58"/>
      <c r="AA21" s="338" t="s">
        <v>490</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282</v>
      </c>
      <c r="H22" s="58"/>
      <c r="I22" s="84">
        <v>11</v>
      </c>
      <c r="J22" s="71"/>
      <c r="K22" s="72"/>
      <c r="L22" s="73" t="str">
        <f>IF(K22="","",IF(K22=K23,"R",""))</f>
        <v/>
      </c>
      <c r="M22" s="75" t="e">
        <f>INDEX(Results!T:T,MATCH(J22,Results!V:V,0))</f>
        <v>#N/A</v>
      </c>
      <c r="N22" s="669">
        <v>21</v>
      </c>
      <c r="O22" s="84">
        <v>11</v>
      </c>
      <c r="P22" s="598" t="str">
        <f t="shared" si="0"/>
        <v>Mike Penk</v>
      </c>
      <c r="Q22" s="72">
        <v>-5.25</v>
      </c>
      <c r="R22" s="81" t="str">
        <f>IF(Q22="","",IF(Q22=Q23,"R",""))</f>
        <v/>
      </c>
      <c r="S22" s="78">
        <f>INDEX(Results!T:T,MATCH(P22,Results!V:V,0))</f>
        <v>-5.15</v>
      </c>
      <c r="T22" s="58"/>
      <c r="U22" s="60">
        <v>11</v>
      </c>
      <c r="V22" s="68" t="str">
        <f>IF(Q42=Q43,"Await earlier tie",IF(Q42&lt;Q43,P43,P42))</f>
        <v>Ben Rosser</v>
      </c>
      <c r="W22" s="72">
        <v>4.2181818181818187</v>
      </c>
      <c r="X22" s="81" t="str">
        <f>IF(W22="","",IF(W22=W23,"R",""))</f>
        <v/>
      </c>
      <c r="Y22" s="78">
        <f>INDEX(Results!T:T,MATCH(V22,Results!V:V,0))</f>
        <v>4.2181818181818187</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269</v>
      </c>
      <c r="H23" s="58"/>
      <c r="I23" s="83"/>
      <c r="J23" s="71"/>
      <c r="K23" s="72"/>
      <c r="L23" s="74"/>
      <c r="M23" s="75" t="e">
        <f>INDEX(Results!T:T,MATCH(J23,Results!V:V,0))</f>
        <v>#N/A</v>
      </c>
      <c r="N23" s="669">
        <v>22</v>
      </c>
      <c r="O23" s="83"/>
      <c r="P23" s="598" t="str">
        <f t="shared" si="0"/>
        <v>Stephen Barr</v>
      </c>
      <c r="Q23" s="72">
        <v>-7</v>
      </c>
      <c r="R23" s="61"/>
      <c r="S23" s="78">
        <f>INDEX(Results!T:T,MATCH(P23,Results!V:V,0))</f>
        <v>-4.8499999999999996</v>
      </c>
      <c r="T23" s="58"/>
      <c r="U23" s="63"/>
      <c r="V23" s="68" t="str">
        <f>IF(Q44=Q45,"Await earlier tie",IF(Q44&lt;Q45,P45,P44))</f>
        <v>Howard Bradley</v>
      </c>
      <c r="W23" s="72">
        <v>-7</v>
      </c>
      <c r="X23" s="64"/>
      <c r="Y23" s="78">
        <f>INDEX(Results!T:T,MATCH(V23,Results!V:V,0))</f>
        <v>-7</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299</v>
      </c>
      <c r="H24" s="58"/>
      <c r="I24" s="84">
        <v>12</v>
      </c>
      <c r="J24" s="71"/>
      <c r="K24" s="72"/>
      <c r="L24" s="73" t="str">
        <f>IF(K24="","",IF(K24=K25,"R",""))</f>
        <v/>
      </c>
      <c r="M24" s="75" t="e">
        <f>INDEX(Results!T:T,MATCH(J24,Results!V:V,0))</f>
        <v>#N/A</v>
      </c>
      <c r="N24" s="669">
        <v>23</v>
      </c>
      <c r="O24" s="84">
        <v>12</v>
      </c>
      <c r="P24" s="598" t="str">
        <f t="shared" si="0"/>
        <v>Phil Miller</v>
      </c>
      <c r="Q24" s="72">
        <v>-10</v>
      </c>
      <c r="R24" s="81" t="str">
        <f>IF(Q24="","",IF(Q24=Q25,"R",""))</f>
        <v/>
      </c>
      <c r="S24" s="78" t="e">
        <f>INDEX(Results!T:T,MATCH(P24,Results!V:V,0))</f>
        <v>#VALUE!</v>
      </c>
      <c r="T24" s="58"/>
      <c r="U24" s="60">
        <v>12</v>
      </c>
      <c r="V24" s="68" t="str">
        <f>IF(Q46=Q47,"Await earlier tie",IF(Q46&lt;Q47,P47,P46))</f>
        <v>Martin Tarbuck</v>
      </c>
      <c r="W24" s="72">
        <v>9.1120000000000019</v>
      </c>
      <c r="X24" s="81" t="str">
        <f>IF(W24="","",IF(W24=W25,"R",""))</f>
        <v/>
      </c>
      <c r="Y24" s="78">
        <f>INDEX(Results!T:T,MATCH(V24,Results!V:V,0))</f>
        <v>9.1120000000000019</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289</v>
      </c>
      <c r="H25" s="58"/>
      <c r="I25" s="83"/>
      <c r="J25" s="71"/>
      <c r="K25" s="72"/>
      <c r="L25" s="74"/>
      <c r="M25" s="75" t="e">
        <f>INDEX(Results!T:T,MATCH(J25,Results!V:V,0))</f>
        <v>#N/A</v>
      </c>
      <c r="N25" s="669">
        <v>24</v>
      </c>
      <c r="O25" s="83"/>
      <c r="P25" s="598" t="str">
        <f t="shared" si="0"/>
        <v>Rob England</v>
      </c>
      <c r="Q25" s="72">
        <v>37.58</v>
      </c>
      <c r="R25" s="61"/>
      <c r="S25" s="78">
        <f>INDEX(Results!T:T,MATCH(P25,Results!V:V,0))</f>
        <v>-0.88888888888888928</v>
      </c>
      <c r="T25" s="58"/>
      <c r="U25" s="63"/>
      <c r="V25" s="68" t="str">
        <f>IF(Q48=Q49,"Await earlier tie",IF(Q48&lt;Q49,P49,P48))</f>
        <v>Chris Griffin</v>
      </c>
      <c r="W25" s="72">
        <v>2.2666666666666675</v>
      </c>
      <c r="X25" s="64"/>
      <c r="Y25" s="78">
        <f>INDEX(Results!T:T,MATCH(V25,Results!V:V,0))</f>
        <v>2.2666666666666675</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290</v>
      </c>
      <c r="H26" s="58"/>
      <c r="I26" s="84">
        <v>13</v>
      </c>
      <c r="J26" s="71"/>
      <c r="K26" s="72"/>
      <c r="L26" s="73" t="str">
        <f>IF(K26="","",IF(K26=K27,"R",""))</f>
        <v/>
      </c>
      <c r="M26" s="75" t="e">
        <f>INDEX(Results!T:T,MATCH(J26,Results!V:V,0))</f>
        <v>#N/A</v>
      </c>
      <c r="N26" s="669">
        <v>25</v>
      </c>
      <c r="O26" s="84">
        <v>13</v>
      </c>
      <c r="P26" s="598" t="str">
        <f t="shared" si="0"/>
        <v>Paul Fairhurst</v>
      </c>
      <c r="Q26" s="72">
        <v>3.16</v>
      </c>
      <c r="R26" s="81" t="str">
        <f>IF(Q26="","",IF(Q26=Q27,"R",""))</f>
        <v/>
      </c>
      <c r="S26" s="78">
        <f>INDEX(Results!T:T,MATCH(P26,Results!V:V,0))</f>
        <v>11.270000000000003</v>
      </c>
      <c r="T26" s="58"/>
      <c r="U26" s="60">
        <v>13</v>
      </c>
      <c r="V26" s="68" t="str">
        <f>IF(Q50=Q51,"Await earlier tie",IF(Q50&lt;Q51,P51,P50))</f>
        <v>Gerard Ventom</v>
      </c>
      <c r="W26" s="72">
        <v>7.120000000000001</v>
      </c>
      <c r="X26" s="81" t="str">
        <f>IF(W26="","",IF(W26=W27,"R",""))</f>
        <v/>
      </c>
      <c r="Y26" s="78">
        <f>INDEX(Results!T:T,MATCH(V26,Results!V:V,0))</f>
        <v>7.120000000000001</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284</v>
      </c>
      <c r="H27" s="58"/>
      <c r="I27" s="83"/>
      <c r="J27" s="71"/>
      <c r="K27" s="72"/>
      <c r="L27" s="74"/>
      <c r="M27" s="75" t="e">
        <f>INDEX(Results!T:T,MATCH(J27,Results!V:V,0))</f>
        <v>#N/A</v>
      </c>
      <c r="N27" s="669">
        <v>45</v>
      </c>
      <c r="O27" s="83"/>
      <c r="P27" s="598" t="s">
        <v>574</v>
      </c>
      <c r="Q27" s="72">
        <v>-3.7</v>
      </c>
      <c r="R27" s="61"/>
      <c r="S27" s="78">
        <f>INDEX(Results!T:T,MATCH(P27,Results!V:V,0))</f>
        <v>-5.5555555555555554</v>
      </c>
      <c r="T27" s="58"/>
      <c r="U27" s="63"/>
      <c r="V27" s="68" t="str">
        <f>IF(Q52=Q53,"Await earlier tie",IF(Q52&lt;Q53,P53,P52))</f>
        <v>Frank Allen</v>
      </c>
      <c r="W27" s="72">
        <v>3.4000000000000004</v>
      </c>
      <c r="X27" s="64"/>
      <c r="Y27" s="78">
        <f>INDEX(Results!T:T,MATCH(V27,Results!V:V,0))</f>
        <v>3.4000000000000004</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271</v>
      </c>
      <c r="H28" s="58"/>
      <c r="I28" s="84">
        <v>14</v>
      </c>
      <c r="J28" s="71"/>
      <c r="K28" s="72"/>
      <c r="L28" s="73" t="str">
        <f>IF(K28="","",IF(K28=K29,"R",""))</f>
        <v/>
      </c>
      <c r="M28" s="75" t="e">
        <f>INDEX(Results!T:T,MATCH(J28,Results!V:V,0))</f>
        <v>#N/A</v>
      </c>
      <c r="N28" s="669">
        <v>26</v>
      </c>
      <c r="O28" s="84">
        <v>14</v>
      </c>
      <c r="P28" s="598" t="str">
        <f t="shared" si="0"/>
        <v>Alan Rogers</v>
      </c>
      <c r="Q28" s="72">
        <v>-7</v>
      </c>
      <c r="R28" s="81" t="str">
        <f>IF(Q28="","",IF(Q28=Q29,"R",""))</f>
        <v/>
      </c>
      <c r="S28" s="78">
        <f>INDEX(Results!T:T,MATCH(P28,Results!V:V,0))</f>
        <v>-4.7</v>
      </c>
      <c r="T28" s="58"/>
      <c r="U28" s="60">
        <v>14</v>
      </c>
      <c r="V28" s="68" t="str">
        <f>IF(Q54=Q55,"Await earlier tie",IF(Q54&lt;Q55,P55,P54))</f>
        <v>Alex Griffin</v>
      </c>
      <c r="W28" s="72">
        <v>-7</v>
      </c>
      <c r="X28" s="81" t="str">
        <f>IF(W28="","",IF(W28=W29,"R",""))</f>
        <v>R</v>
      </c>
      <c r="Y28" s="78">
        <f>INDEX(Results!T:T,MATCH(V28,Results!V:V,0))</f>
        <v>-7</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285</v>
      </c>
      <c r="H29" s="58"/>
      <c r="I29" s="83"/>
      <c r="J29" s="71"/>
      <c r="K29" s="72"/>
      <c r="L29" s="74"/>
      <c r="M29" s="75" t="e">
        <f>INDEX(Results!T:T,MATCH(J29,Results!V:V,0))</f>
        <v>#N/A</v>
      </c>
      <c r="N29" s="669">
        <v>46</v>
      </c>
      <c r="O29" s="83"/>
      <c r="P29" s="598" t="str">
        <f t="shared" si="0"/>
        <v>Katy Savory</v>
      </c>
      <c r="Q29" s="72">
        <v>-5.5</v>
      </c>
      <c r="R29" s="61"/>
      <c r="S29" s="78">
        <f>INDEX(Results!T:T,MATCH(P29,Results!V:V,0))</f>
        <v>-1.8666666666666671</v>
      </c>
      <c r="T29" s="58"/>
      <c r="U29" s="63"/>
      <c r="V29" s="68" t="str">
        <f>IF(Q56=Q57,"Await earlier tie",IF(Q56&lt;Q57,P57,P56))</f>
        <v>Lennie Bow</v>
      </c>
      <c r="W29" s="72">
        <v>-7</v>
      </c>
      <c r="X29" s="64"/>
      <c r="Y29" s="78">
        <f>INDEX(Results!T:T,MATCH(V29,Results!V:V,0))</f>
        <v>-7</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276</v>
      </c>
      <c r="H30" s="58"/>
      <c r="I30" s="84">
        <v>15</v>
      </c>
      <c r="J30" s="71"/>
      <c r="K30" s="72"/>
      <c r="L30" s="73" t="str">
        <f>IF(K30="","",IF(K30=K31,"R",""))</f>
        <v/>
      </c>
      <c r="M30" s="75" t="e">
        <f>INDEX(Results!T:T,MATCH(J30,Results!V:V,0))</f>
        <v>#N/A</v>
      </c>
      <c r="N30" s="669">
        <v>27</v>
      </c>
      <c r="O30" s="84">
        <v>15</v>
      </c>
      <c r="P30" s="598" t="str">
        <f t="shared" si="0"/>
        <v>Steve Carter</v>
      </c>
      <c r="Q30" s="72">
        <v>-5.2</v>
      </c>
      <c r="R30" s="81" t="str">
        <f>IF(Q30="","",IF(Q30=Q31,"R",""))</f>
        <v/>
      </c>
      <c r="S30" s="78">
        <f>INDEX(Results!T:T,MATCH(P30,Results!V:V,0))</f>
        <v>2.7100000000000009</v>
      </c>
      <c r="T30" s="58"/>
      <c r="U30" s="60">
        <v>15</v>
      </c>
      <c r="V30" s="68" t="str">
        <f>IF(Q58=Q59,"Await earlier tie",IF(Q58&lt;Q59,P59,P58))</f>
        <v>Nigel Heyes</v>
      </c>
      <c r="W30" s="72">
        <v>-7</v>
      </c>
      <c r="X30" s="81" t="str">
        <f>IF(W30="","",IF(W30=W31,"R",""))</f>
        <v/>
      </c>
      <c r="Y30" s="78">
        <f>INDEX(Results!T:T,MATCH(V30,Results!V:V,0))</f>
        <v>-7</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288</v>
      </c>
      <c r="H31" s="58"/>
      <c r="I31" s="83"/>
      <c r="J31" s="71"/>
      <c r="K31" s="72"/>
      <c r="L31" s="74"/>
      <c r="M31" s="75" t="e">
        <f>INDEX(Results!T:T,MATCH(J31,Results!V:V,0))</f>
        <v>#N/A</v>
      </c>
      <c r="N31" s="669"/>
      <c r="O31" s="83"/>
      <c r="P31" s="598" t="str">
        <f t="shared" si="0"/>
        <v/>
      </c>
      <c r="Q31" s="72">
        <v>-10</v>
      </c>
      <c r="R31" s="61"/>
      <c r="S31" s="78" t="e">
        <f>INDEX(Results!T:T,MATCH(P31,Results!V:V,0))</f>
        <v>#N/A</v>
      </c>
      <c r="T31" s="58"/>
      <c r="U31" s="63"/>
      <c r="V31" s="68" t="str">
        <f>IF(Q60=Q61,"Await earlier tie",IF(Q60&lt;Q61,P61,P60))</f>
        <v>Steve Waterhouse</v>
      </c>
      <c r="W31" s="72">
        <v>-4.9000000000000004</v>
      </c>
      <c r="X31" s="64"/>
      <c r="Y31" s="78">
        <f>INDEX(Results!T:T,MATCH(V31,Results!V:V,0))</f>
        <v>-4.9000000000000004</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296</v>
      </c>
      <c r="H32" s="58"/>
      <c r="I32" s="84">
        <v>16</v>
      </c>
      <c r="J32" s="71"/>
      <c r="K32" s="72"/>
      <c r="L32" s="73" t="str">
        <f>IF(K32="","",IF(K32=K33,"R",""))</f>
        <v/>
      </c>
      <c r="M32" s="75" t="e">
        <f>INDEX(Results!T:T,MATCH(J32,Results!V:V,0))</f>
        <v>#N/A</v>
      </c>
      <c r="N32" s="669">
        <v>28</v>
      </c>
      <c r="O32" s="84">
        <v>16</v>
      </c>
      <c r="P32" s="598" t="str">
        <f t="shared" si="0"/>
        <v>Vinny Topping</v>
      </c>
      <c r="Q32" s="72">
        <v>-7</v>
      </c>
      <c r="R32" s="81" t="str">
        <f>IF(Q32="","",IF(Q32=Q33,"R",""))</f>
        <v/>
      </c>
      <c r="S32" s="78">
        <f>INDEX(Results!T:T,MATCH(P32,Results!V:V,0))</f>
        <v>-7</v>
      </c>
      <c r="T32" s="58"/>
      <c r="U32" s="60">
        <v>16</v>
      </c>
      <c r="V32" s="68" t="str">
        <f>IF(Q62=Q63,"Await earlier tie",IF(Q62&lt;Q63,P63,P62))</f>
        <v>Dan Gibbard</v>
      </c>
      <c r="W32" s="72">
        <v>15.5</v>
      </c>
      <c r="X32" s="81" t="str">
        <f>IF(W32="","",IF(W32=W33,"R",""))</f>
        <v/>
      </c>
      <c r="Y32" s="78">
        <f>INDEX(Results!T:T,MATCH(V32,Results!V:V,0))</f>
        <v>15.5</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270</v>
      </c>
      <c r="H33" s="58"/>
      <c r="I33" s="83"/>
      <c r="J33" s="71"/>
      <c r="K33" s="72"/>
      <c r="L33" s="74"/>
      <c r="M33" s="75" t="e">
        <f>INDEX(Results!T:T,MATCH(J33,Results!V:V,0))</f>
        <v>#N/A</v>
      </c>
      <c r="N33" s="669"/>
      <c r="O33" s="83"/>
      <c r="P33" s="598" t="str">
        <f t="shared" si="0"/>
        <v/>
      </c>
      <c r="Q33" s="72">
        <v>-10</v>
      </c>
      <c r="R33" s="61"/>
      <c r="S33" s="78" t="e">
        <f>INDEX(Results!T:T,MATCH(P33,Results!V:V,0))</f>
        <v>#N/A</v>
      </c>
      <c r="T33" s="58"/>
      <c r="U33" s="67"/>
      <c r="V33" s="68" t="str">
        <f>IF(Q64=Q65,"Await earlier tie",IF(Q64&lt;Q65,P65,P64))</f>
        <v>Alan White</v>
      </c>
      <c r="W33" s="72">
        <v>-0.40000000000000036</v>
      </c>
      <c r="X33" s="61"/>
      <c r="Y33" s="78">
        <f>INDEX(Results!T:T,MATCH(V33,Results!V:V,0))</f>
        <v>-0.40000000000000036</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348</v>
      </c>
      <c r="H34" s="58"/>
      <c r="I34" s="84">
        <v>17</v>
      </c>
      <c r="J34" s="71"/>
      <c r="K34" s="72"/>
      <c r="L34" s="73" t="str">
        <f>IF(K34="","",IF(K34=K35,"R",""))</f>
        <v/>
      </c>
      <c r="M34" s="75" t="e">
        <f>INDEX(Results!T:T,MATCH(J34,Results!V:V,0))</f>
        <v>#N/A</v>
      </c>
      <c r="N34" s="669">
        <v>29</v>
      </c>
      <c r="O34" s="84">
        <v>17</v>
      </c>
      <c r="P34" s="598" t="str">
        <f t="shared" si="0"/>
        <v>Andy White</v>
      </c>
      <c r="Q34" s="72">
        <v>-7</v>
      </c>
      <c r="R34" s="81" t="str">
        <f>IF(Q34="","",IF(Q34=Q35,"R",""))</f>
        <v/>
      </c>
      <c r="S34" s="78">
        <f>INDEX(Results!T:T,MATCH(P34,Results!V:V,0))</f>
        <v>23.156363636363636</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287</v>
      </c>
      <c r="H35" s="58"/>
      <c r="I35" s="83"/>
      <c r="J35" s="71"/>
      <c r="K35" s="72"/>
      <c r="L35" s="74"/>
      <c r="M35" s="75" t="e">
        <f>INDEX(Results!T:T,MATCH(J35,Results!V:V,0))</f>
        <v>#N/A</v>
      </c>
      <c r="N35" s="669"/>
      <c r="O35" s="83"/>
      <c r="P35" s="598" t="str">
        <f t="shared" si="0"/>
        <v/>
      </c>
      <c r="Q35" s="72">
        <v>-10</v>
      </c>
      <c r="R35" s="61"/>
      <c r="S35" s="78" t="e">
        <f>INDEX(Results!T:T,MATCH(P35,Results!V:V,0))</f>
        <v>#N/A</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352</v>
      </c>
      <c r="H36" s="58"/>
      <c r="I36" s="84">
        <v>18</v>
      </c>
      <c r="J36" s="71"/>
      <c r="K36" s="72"/>
      <c r="L36" s="73" t="str">
        <f>IF(K36="","",IF(K36=K37,"R",""))</f>
        <v/>
      </c>
      <c r="M36" s="75" t="e">
        <f>INDEX(Results!T:T,MATCH(J36,Results!V:V,0))</f>
        <v>#N/A</v>
      </c>
      <c r="N36" s="669">
        <v>30</v>
      </c>
      <c r="O36" s="84">
        <v>18</v>
      </c>
      <c r="P36" s="598" t="str">
        <f t="shared" si="0"/>
        <v>Kevin Carter</v>
      </c>
      <c r="Q36" s="72">
        <v>-5.2</v>
      </c>
      <c r="R36" s="81" t="str">
        <f>IF(Q36="","",IF(Q36=Q37,"R",""))</f>
        <v/>
      </c>
      <c r="S36" s="78">
        <f>INDEX(Results!T:T,MATCH(P36,Results!V:V,0))</f>
        <v>-7</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292</v>
      </c>
      <c r="H37" s="58"/>
      <c r="I37" s="83"/>
      <c r="J37" s="71"/>
      <c r="K37" s="72"/>
      <c r="L37" s="74"/>
      <c r="M37" s="75" t="e">
        <f>INDEX(Results!T:T,MATCH(J37,Results!V:V,0))</f>
        <v>#N/A</v>
      </c>
      <c r="N37" s="669"/>
      <c r="O37" s="83"/>
      <c r="P37" s="598" t="str">
        <f t="shared" si="0"/>
        <v/>
      </c>
      <c r="Q37" s="72">
        <v>-10</v>
      </c>
      <c r="R37" s="61"/>
      <c r="S37" s="78" t="e">
        <f>INDEX(Results!T:T,MATCH(P37,Results!V:V,0))</f>
        <v>#N/A</v>
      </c>
      <c r="T37" s="58"/>
      <c r="U37" s="57" t="s">
        <v>490</v>
      </c>
      <c r="V37" s="627"/>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350</v>
      </c>
      <c r="H38" s="58"/>
      <c r="I38" s="84">
        <v>19</v>
      </c>
      <c r="J38" s="71"/>
      <c r="K38" s="72"/>
      <c r="L38" s="73" t="str">
        <f>IF(K38="","",IF(K38=K39,"R",""))</f>
        <v/>
      </c>
      <c r="M38" s="75" t="e">
        <f>INDEX(Results!T:T,MATCH(J38,Results!V:V,0))</f>
        <v>#N/A</v>
      </c>
      <c r="N38" s="669">
        <v>31</v>
      </c>
      <c r="O38" s="84">
        <v>19</v>
      </c>
      <c r="P38" s="598" t="str">
        <f t="shared" si="0"/>
        <v>Jack Walsh</v>
      </c>
      <c r="Q38" s="72">
        <v>-1.155555555555555</v>
      </c>
      <c r="R38" s="81" t="str">
        <f>IF(Q38="","",IF(Q38=Q39,"R",""))</f>
        <v/>
      </c>
      <c r="S38" s="78">
        <f>INDEX(Results!T:T,MATCH(P38,Results!V:V,0))</f>
        <v>-5.7</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488</v>
      </c>
      <c r="H39" s="58"/>
      <c r="I39" s="83"/>
      <c r="J39" s="71"/>
      <c r="K39" s="72"/>
      <c r="L39" s="74"/>
      <c r="M39" s="75" t="e">
        <f>INDEX(Results!T:T,MATCH(J39,Results!V:V,0))</f>
        <v>#N/A</v>
      </c>
      <c r="N39" s="669"/>
      <c r="O39" s="83"/>
      <c r="P39" s="598" t="str">
        <f t="shared" si="0"/>
        <v/>
      </c>
      <c r="Q39" s="72">
        <v>-10</v>
      </c>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502</v>
      </c>
      <c r="H40" s="58"/>
      <c r="I40" s="84">
        <v>20</v>
      </c>
      <c r="J40" s="71"/>
      <c r="K40" s="72"/>
      <c r="L40" s="73" t="str">
        <f>IF(K40="","",IF(K40=K41,"R",""))</f>
        <v/>
      </c>
      <c r="M40" s="75" t="e">
        <f>INDEX(Results!T:T,MATCH(J40,Results!V:V,0))</f>
        <v>#N/A</v>
      </c>
      <c r="N40" s="669">
        <v>32</v>
      </c>
      <c r="O40" s="84">
        <v>20</v>
      </c>
      <c r="P40" s="598" t="str">
        <f t="shared" si="0"/>
        <v>Barry Birchall</v>
      </c>
      <c r="Q40" s="72">
        <v>-5.1666666666666661</v>
      </c>
      <c r="R40" s="81" t="str">
        <f>IF(Q40="","",IF(Q40=Q41,"R",""))</f>
        <v/>
      </c>
      <c r="S40" s="78">
        <f>INDEX(Results!T:T,MATCH(P40,Results!V:V,0))</f>
        <v>-1.4814814814814827</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278</v>
      </c>
      <c r="H41" s="58"/>
      <c r="I41" s="83"/>
      <c r="J41" s="71"/>
      <c r="K41" s="72"/>
      <c r="L41" s="74"/>
      <c r="M41" s="75" t="e">
        <f>INDEX(Results!T:T,MATCH(J41,Results!V:V,0))</f>
        <v>#N/A</v>
      </c>
      <c r="N41" s="669"/>
      <c r="O41" s="83"/>
      <c r="P41" s="598" t="str">
        <f t="shared" si="0"/>
        <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294</v>
      </c>
      <c r="H42" s="58"/>
      <c r="I42" s="84">
        <v>21</v>
      </c>
      <c r="J42" s="71"/>
      <c r="K42" s="72"/>
      <c r="L42" s="73" t="str">
        <f>IF(K42="","",IF(K42=K43,"R",""))</f>
        <v/>
      </c>
      <c r="M42" s="75" t="e">
        <f>INDEX(Results!T:T,MATCH(J42,Results!V:V,0))</f>
        <v>#N/A</v>
      </c>
      <c r="N42" s="669">
        <v>33</v>
      </c>
      <c r="O42" s="84">
        <v>21</v>
      </c>
      <c r="P42" s="598" t="str">
        <f t="shared" si="0"/>
        <v>Ben Rosser</v>
      </c>
      <c r="Q42" s="72">
        <v>-7</v>
      </c>
      <c r="R42" s="81" t="str">
        <f>IF(Q42="","",IF(Q42=Q43,"R",""))</f>
        <v/>
      </c>
      <c r="S42" s="78">
        <f>INDEX(Results!T:T,MATCH(P42,Results!V:V,0))</f>
        <v>4.2181818181818187</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533</v>
      </c>
      <c r="H43" s="58"/>
      <c r="I43" s="83"/>
      <c r="J43" s="71"/>
      <c r="K43" s="72"/>
      <c r="L43" s="74"/>
      <c r="M43" s="75" t="e">
        <f>INDEX(Results!T:T,MATCH(J43,Results!V:V,0))</f>
        <v>#N/A</v>
      </c>
      <c r="N43" s="669"/>
      <c r="O43" s="83"/>
      <c r="P43" s="598" t="str">
        <f t="shared" si="0"/>
        <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487</v>
      </c>
      <c r="H44" s="58"/>
      <c r="I44" s="84">
        <v>22</v>
      </c>
      <c r="J44" s="71"/>
      <c r="K44" s="72"/>
      <c r="L44" s="73" t="str">
        <f t="shared" ref="L44:L72" si="1">IF(K44="","",IF(K44=K45,"R",""))</f>
        <v/>
      </c>
      <c r="M44" s="75" t="e">
        <f>INDEX(Results!T:T,MATCH(J44,Results!V:V,0))</f>
        <v>#N/A</v>
      </c>
      <c r="N44" s="669">
        <v>34</v>
      </c>
      <c r="O44" s="84">
        <v>22</v>
      </c>
      <c r="P44" s="598" t="str">
        <f t="shared" si="0"/>
        <v>Howard Bradley</v>
      </c>
      <c r="Q44" s="72">
        <v>-5.5</v>
      </c>
      <c r="R44" s="81" t="str">
        <f>IF(Q44="","",IF(Q44=Q45,"R",""))</f>
        <v/>
      </c>
      <c r="S44" s="78">
        <f>INDEX(Results!T:T,MATCH(P44,Results!V:V,0))</f>
        <v>-7</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417</v>
      </c>
      <c r="H45" s="58"/>
      <c r="I45" s="83"/>
      <c r="J45" s="71"/>
      <c r="K45" s="72"/>
      <c r="L45" s="74"/>
      <c r="M45" s="75" t="e">
        <f>INDEX(Results!T:T,MATCH(J45,Results!V:V,0))</f>
        <v>#N/A</v>
      </c>
      <c r="N45" s="669"/>
      <c r="O45" s="83"/>
      <c r="P45" s="598" t="str">
        <f t="shared" si="0"/>
        <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574</v>
      </c>
      <c r="H46" s="58"/>
      <c r="I46" s="84">
        <v>23</v>
      </c>
      <c r="J46" s="71"/>
      <c r="K46" s="72"/>
      <c r="L46" s="73" t="str">
        <f t="shared" si="1"/>
        <v/>
      </c>
      <c r="M46" s="75" t="e">
        <f>INDEX(Results!T:T,MATCH(J46,Results!V:V,0))</f>
        <v>#N/A</v>
      </c>
      <c r="N46" s="669">
        <v>35</v>
      </c>
      <c r="O46" s="84">
        <v>23</v>
      </c>
      <c r="P46" s="598" t="str">
        <f t="shared" si="0"/>
        <v>Martin Tarbuck</v>
      </c>
      <c r="Q46" s="72">
        <v>-0.8888888888888884</v>
      </c>
      <c r="R46" s="81" t="str">
        <f>IF(Q46="","",IF(Q46=Q47,"R",""))</f>
        <v/>
      </c>
      <c r="S46" s="78">
        <f>INDEX(Results!T:T,MATCH(P46,Results!V:V,0))</f>
        <v>9.1120000000000019</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575</v>
      </c>
      <c r="H47" s="58"/>
      <c r="I47" s="83"/>
      <c r="J47" s="71"/>
      <c r="K47" s="72"/>
      <c r="L47" s="74"/>
      <c r="M47" s="75" t="e">
        <f>INDEX(Results!T:T,MATCH(J47,Results!V:V,0))</f>
        <v>#N/A</v>
      </c>
      <c r="N47" s="669"/>
      <c r="O47" s="83"/>
      <c r="P47" s="598" t="str">
        <f t="shared" si="0"/>
        <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c r="G48" s="66"/>
      <c r="H48" s="58"/>
      <c r="I48" s="84">
        <v>24</v>
      </c>
      <c r="J48" s="71"/>
      <c r="K48" s="72"/>
      <c r="L48" s="73" t="str">
        <f t="shared" si="1"/>
        <v/>
      </c>
      <c r="M48" s="75" t="e">
        <f>INDEX(Results!T:T,MATCH(J48,Results!V:V,0))</f>
        <v>#N/A</v>
      </c>
      <c r="N48" s="669">
        <v>36</v>
      </c>
      <c r="O48" s="84">
        <v>24</v>
      </c>
      <c r="P48" s="598" t="str">
        <f t="shared" si="0"/>
        <v>Chris Griffin</v>
      </c>
      <c r="Q48" s="72">
        <v>-5.2</v>
      </c>
      <c r="R48" s="81" t="str">
        <f>IF(Q48="","",IF(Q48=Q49,"R",""))</f>
        <v/>
      </c>
      <c r="S48" s="78">
        <f>INDEX(Results!T:T,MATCH(P48,Results!V:V,0))</f>
        <v>2.2666666666666675</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c r="G49" s="66"/>
      <c r="H49" s="58"/>
      <c r="I49" s="83"/>
      <c r="J49" s="71"/>
      <c r="K49" s="72"/>
      <c r="L49" s="74"/>
      <c r="M49" s="75" t="e">
        <f>INDEX(Results!T:T,MATCH(J49,Results!V:V,0))</f>
        <v>#N/A</v>
      </c>
      <c r="N49" s="669"/>
      <c r="O49" s="83"/>
      <c r="P49" s="598" t="str">
        <f t="shared" si="0"/>
        <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c r="G50" s="66"/>
      <c r="H50" s="58"/>
      <c r="I50" s="84">
        <v>25</v>
      </c>
      <c r="J50" s="71"/>
      <c r="K50" s="72"/>
      <c r="L50" s="73" t="str">
        <f t="shared" si="1"/>
        <v/>
      </c>
      <c r="M50" s="75" t="e">
        <f>INDEX(Results!T:T,MATCH(J50,Results!V:V,0))</f>
        <v>#N/A</v>
      </c>
      <c r="N50" s="669">
        <v>37</v>
      </c>
      <c r="O50" s="84">
        <v>25</v>
      </c>
      <c r="P50" s="598" t="str">
        <f t="shared" si="0"/>
        <v>Gerard Ventom</v>
      </c>
      <c r="Q50" s="72">
        <v>-3.6</v>
      </c>
      <c r="R50" s="81" t="str">
        <f>IF(Q50="","",IF(Q50=Q51,"R",""))</f>
        <v/>
      </c>
      <c r="S50" s="78">
        <f>INDEX(Results!T:T,MATCH(P50,Results!V:V,0))</f>
        <v>7.120000000000001</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669"/>
      <c r="O51" s="83"/>
      <c r="P51" s="598" t="str">
        <f t="shared" si="0"/>
        <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1"/>
        <v/>
      </c>
      <c r="M52" s="75" t="e">
        <f>INDEX(Results!T:T,MATCH(J52,Results!V:V,0))</f>
        <v>#N/A</v>
      </c>
      <c r="N52" s="669">
        <v>38</v>
      </c>
      <c r="O52" s="84">
        <v>26</v>
      </c>
      <c r="P52" s="598" t="str">
        <f t="shared" si="0"/>
        <v>Frank Allen</v>
      </c>
      <c r="Q52" s="72">
        <v>-10</v>
      </c>
      <c r="R52" s="81" t="str">
        <f>IF(Q52="","",IF(Q52=Q53,"R",""))</f>
        <v/>
      </c>
      <c r="S52" s="78">
        <f>INDEX(Results!T:T,MATCH(P52,Results!V:V,0))</f>
        <v>3.4000000000000004</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669"/>
      <c r="O53" s="83"/>
      <c r="P53" s="598" t="str">
        <f t="shared" si="0"/>
        <v/>
      </c>
      <c r="Q53" s="72">
        <v>-11</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1"/>
        <v/>
      </c>
      <c r="M54" s="75" t="e">
        <f>INDEX(Results!T:T,MATCH(J54,Results!V:V,0))</f>
        <v>#N/A</v>
      </c>
      <c r="N54" s="669">
        <v>39</v>
      </c>
      <c r="O54" s="84">
        <v>27</v>
      </c>
      <c r="P54" s="598" t="str">
        <f t="shared" si="0"/>
        <v>Alex Griffin</v>
      </c>
      <c r="Q54" s="72">
        <v>-7</v>
      </c>
      <c r="R54" s="81" t="str">
        <f>IF(Q54="","",IF(Q54=Q55,"R",""))</f>
        <v/>
      </c>
      <c r="S54" s="78">
        <f>INDEX(Results!T:T,MATCH(P54,Results!V:V,0))</f>
        <v>-7</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669"/>
      <c r="O55" s="83"/>
      <c r="P55" s="598" t="str">
        <f t="shared" si="0"/>
        <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1"/>
        <v/>
      </c>
      <c r="M56" s="75" t="e">
        <f>INDEX(Results!T:T,MATCH(J56,Results!V:V,0))</f>
        <v>#N/A</v>
      </c>
      <c r="N56" s="669">
        <v>40</v>
      </c>
      <c r="O56" s="84">
        <v>28</v>
      </c>
      <c r="P56" s="598" t="str">
        <f t="shared" si="0"/>
        <v>Lennie Bow</v>
      </c>
      <c r="Q56" s="72">
        <v>-1.5</v>
      </c>
      <c r="R56" s="81" t="str">
        <f>IF(Q56="","",IF(Q56=Q57,"R",""))</f>
        <v/>
      </c>
      <c r="S56" s="78">
        <f>INDEX(Results!T:T,MATCH(P56,Results!V:V,0))</f>
        <v>-7</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669"/>
      <c r="O57" s="83"/>
      <c r="P57" s="598" t="str">
        <f t="shared" si="0"/>
        <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1"/>
        <v/>
      </c>
      <c r="M58" s="75" t="e">
        <f>INDEX(Results!T:T,MATCH(J58,Results!V:V,0))</f>
        <v>#N/A</v>
      </c>
      <c r="N58" s="669">
        <v>41</v>
      </c>
      <c r="O58" s="84">
        <v>29</v>
      </c>
      <c r="P58" s="598" t="str">
        <f t="shared" si="0"/>
        <v>Nigel Heyes</v>
      </c>
      <c r="Q58" s="72">
        <v>-5.1666666666666661</v>
      </c>
      <c r="R58" s="81" t="str">
        <f>IF(Q58="","",IF(Q58=Q59,"R",""))</f>
        <v/>
      </c>
      <c r="S58" s="78">
        <f>INDEX(Results!T:T,MATCH(P58,Results!V:V,0))</f>
        <v>-7</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669"/>
      <c r="O59" s="83"/>
      <c r="P59" s="598" t="str">
        <f t="shared" si="0"/>
        <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1"/>
        <v/>
      </c>
      <c r="M60" s="75" t="e">
        <f>INDEX(Results!T:T,MATCH(J60,Results!V:V,0))</f>
        <v>#N/A</v>
      </c>
      <c r="N60" s="669">
        <v>42</v>
      </c>
      <c r="O60" s="84">
        <v>30</v>
      </c>
      <c r="P60" s="598" t="str">
        <f t="shared" si="0"/>
        <v>Steve Waterhouse</v>
      </c>
      <c r="Q60" s="72">
        <v>-5.1666666666666661</v>
      </c>
      <c r="R60" s="81" t="str">
        <f>IF(Q60="","",IF(Q60=Q61,"R",""))</f>
        <v/>
      </c>
      <c r="S60" s="78">
        <f>INDEX(Results!T:T,MATCH(P60,Results!V:V,0))</f>
        <v>-4.9000000000000004</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669"/>
      <c r="O61" s="83"/>
      <c r="P61" s="598" t="str">
        <f t="shared" si="0"/>
        <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1"/>
        <v/>
      </c>
      <c r="M62" s="75" t="e">
        <f>INDEX(Results!T:T,MATCH(J62,Results!V:V,0))</f>
        <v>#N/A</v>
      </c>
      <c r="N62" s="669">
        <v>43</v>
      </c>
      <c r="O62" s="84">
        <v>31</v>
      </c>
      <c r="P62" s="598" t="str">
        <f t="shared" si="0"/>
        <v>Dan Gibbard</v>
      </c>
      <c r="Q62" s="72">
        <v>-7</v>
      </c>
      <c r="R62" s="81" t="str">
        <f>IF(Q62="","",IF(Q62=Q63,"R",""))</f>
        <v/>
      </c>
      <c r="S62" s="78">
        <f>INDEX(Results!T:T,MATCH(P62,Results!V:V,0))</f>
        <v>15.5</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669"/>
      <c r="O63" s="83"/>
      <c r="P63" s="598" t="str">
        <f t="shared" si="0"/>
        <v/>
      </c>
      <c r="Q63" s="72">
        <v>-10</v>
      </c>
      <c r="R63" s="61"/>
      <c r="S63" s="78" t="e">
        <f>INDEX(Results!T:T,MATCH(P63,Results!V:V,0))</f>
        <v>#N/A</v>
      </c>
      <c r="T63" s="76"/>
      <c r="U63" s="76"/>
      <c r="V63" s="76"/>
      <c r="W63" s="76"/>
      <c r="X63" s="76"/>
      <c r="Y63" s="79"/>
      <c r="Z63" s="76"/>
      <c r="AA63" s="76"/>
      <c r="AB63" s="76"/>
      <c r="AC63" s="76"/>
      <c r="AD63" s="76"/>
      <c r="AE63" s="80"/>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1"/>
        <v/>
      </c>
      <c r="M64" s="75" t="e">
        <f>INDEX(Results!T:T,MATCH(J64,Results!V:V,0))</f>
        <v>#N/A</v>
      </c>
      <c r="N64" s="669">
        <v>44</v>
      </c>
      <c r="O64" s="84">
        <v>32</v>
      </c>
      <c r="P64" s="598" t="str">
        <f t="shared" si="0"/>
        <v>Alan White</v>
      </c>
      <c r="Q64" s="72">
        <v>-5.2</v>
      </c>
      <c r="R64" s="81" t="str">
        <f>IF(Q64="","",IF(Q64=Q65,"R",""))</f>
        <v/>
      </c>
      <c r="S64" s="78">
        <f>INDEX(Results!T:T,MATCH(P64,Results!V:V,0))</f>
        <v>-0.40000000000000036</v>
      </c>
      <c r="T64" s="76"/>
      <c r="U64" s="76"/>
      <c r="V64" s="76"/>
      <c r="W64" s="76"/>
      <c r="X64" s="76"/>
      <c r="Y64" s="79"/>
      <c r="Z64" s="76"/>
      <c r="AA64" s="76"/>
      <c r="AB64" s="76"/>
      <c r="AC64" s="76"/>
      <c r="AD64" s="76"/>
      <c r="AE64" s="80"/>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669"/>
      <c r="O65" s="83"/>
      <c r="P65" s="598" t="str">
        <f t="shared" si="0"/>
        <v/>
      </c>
      <c r="Q65" s="72">
        <v>-10</v>
      </c>
      <c r="R65" s="61"/>
      <c r="S65" s="78" t="e">
        <f>INDEX(Results!T:T,MATCH(P65,Results!V:V,0))</f>
        <v>#N/A</v>
      </c>
      <c r="T65" s="76"/>
      <c r="U65" s="76"/>
      <c r="V65" s="76"/>
      <c r="W65" s="76"/>
      <c r="X65" s="76"/>
      <c r="Y65" s="79"/>
      <c r="Z65" s="76"/>
      <c r="AA65" s="76"/>
      <c r="AB65" s="76"/>
      <c r="AC65" s="76"/>
      <c r="AD65" s="76"/>
      <c r="AE65" s="80"/>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1"/>
        <v/>
      </c>
      <c r="M66" s="75" t="e">
        <f>INDEX(Results!T:T,MATCH(J66,Results!V:V,0))</f>
        <v>#N/A</v>
      </c>
      <c r="N66" s="79"/>
      <c r="O66" s="59"/>
      <c r="P66" s="58"/>
      <c r="Q66" s="86"/>
      <c r="R66" s="58"/>
      <c r="S66" s="79"/>
      <c r="T66" s="76"/>
      <c r="U66" s="76"/>
      <c r="V66" s="76"/>
      <c r="W66" s="76"/>
      <c r="X66" s="76"/>
      <c r="Y66" s="79"/>
      <c r="Z66" s="76"/>
      <c r="AA66" s="76"/>
      <c r="AB66" s="76"/>
      <c r="AC66" s="76"/>
      <c r="AD66" s="76"/>
      <c r="AE66" s="80"/>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79"/>
      <c r="O67" s="59"/>
      <c r="P67" s="58"/>
      <c r="Q67" s="86"/>
      <c r="R67" s="58"/>
      <c r="S67" s="79"/>
      <c r="T67" s="76"/>
      <c r="U67" s="76"/>
      <c r="V67" s="76"/>
      <c r="W67" s="76"/>
      <c r="X67" s="76"/>
      <c r="Y67" s="79"/>
      <c r="Z67" s="76"/>
      <c r="AA67" s="76"/>
      <c r="AB67" s="76"/>
      <c r="AC67" s="76"/>
      <c r="AD67" s="76"/>
      <c r="AE67" s="80"/>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1"/>
        <v/>
      </c>
      <c r="M68" s="75" t="e">
        <f>INDEX(Results!T:T,MATCH(J68,Results!V:V,0))</f>
        <v>#N/A</v>
      </c>
      <c r="N68" s="79"/>
      <c r="O68" s="59" t="s">
        <v>490</v>
      </c>
      <c r="P68" s="76"/>
      <c r="Q68" s="87"/>
      <c r="R68" s="76"/>
      <c r="S68" s="80"/>
      <c r="T68" s="76"/>
      <c r="U68" s="76"/>
      <c r="V68" s="76"/>
      <c r="W68" s="76"/>
      <c r="X68" s="76"/>
      <c r="Y68" s="79"/>
      <c r="Z68" s="76"/>
      <c r="AA68" s="76"/>
      <c r="AB68" s="76"/>
      <c r="AC68" s="76"/>
      <c r="AD68" s="76"/>
      <c r="AE68" s="80"/>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79"/>
      <c r="O69" s="84"/>
      <c r="P69" s="68" t="s">
        <v>273</v>
      </c>
      <c r="Q69" s="72">
        <v>-7</v>
      </c>
      <c r="R69" s="81" t="s">
        <v>542</v>
      </c>
      <c r="S69" s="78"/>
      <c r="T69" s="76"/>
      <c r="U69" s="76"/>
      <c r="V69" s="76"/>
      <c r="W69" s="76"/>
      <c r="X69" s="76"/>
      <c r="Y69" s="79"/>
      <c r="Z69" s="76"/>
      <c r="AA69" s="76"/>
      <c r="AB69" s="76"/>
      <c r="AC69" s="76"/>
      <c r="AD69" s="76"/>
      <c r="AE69" s="80"/>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1"/>
        <v/>
      </c>
      <c r="M70" s="75" t="e">
        <f>INDEX(Results!T:T,MATCH(J70,Results!V:V,0))</f>
        <v>#N/A</v>
      </c>
      <c r="N70" s="79"/>
      <c r="O70" s="83"/>
      <c r="P70" s="68" t="s">
        <v>486</v>
      </c>
      <c r="Q70" s="72">
        <v>-7</v>
      </c>
      <c r="R70" s="61"/>
      <c r="S70" s="78"/>
      <c r="T70" s="76"/>
      <c r="U70" s="76"/>
      <c r="V70" s="76"/>
      <c r="W70" s="76"/>
      <c r="X70" s="76"/>
      <c r="Y70" s="79"/>
      <c r="Z70" s="76"/>
      <c r="AA70" s="76"/>
      <c r="AB70" s="76"/>
      <c r="AC70" s="76"/>
      <c r="AD70" s="76"/>
      <c r="AE70" s="80"/>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79"/>
      <c r="O71" s="84"/>
      <c r="P71" s="68" t="s">
        <v>279</v>
      </c>
      <c r="Q71" s="72">
        <v>-7</v>
      </c>
      <c r="R71" s="81" t="s">
        <v>542</v>
      </c>
      <c r="S71" s="78"/>
      <c r="T71" s="76"/>
      <c r="U71" s="76"/>
      <c r="V71" s="76"/>
      <c r="W71" s="76"/>
      <c r="X71" s="76"/>
      <c r="Y71" s="79"/>
      <c r="Z71" s="76"/>
      <c r="AA71" s="76"/>
      <c r="AB71" s="76"/>
      <c r="AC71" s="76"/>
      <c r="AD71" s="76"/>
      <c r="AE71" s="80"/>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1"/>
        <v/>
      </c>
      <c r="M72" s="75" t="e">
        <f>INDEX(Results!T:T,MATCH(J72,Results!V:V,0))</f>
        <v>#N/A</v>
      </c>
      <c r="N72" s="79"/>
      <c r="O72" s="83"/>
      <c r="P72" s="68" t="s">
        <v>293</v>
      </c>
      <c r="Q72" s="72">
        <v>-7</v>
      </c>
      <c r="R72" s="61"/>
      <c r="S72" s="78"/>
      <c r="T72" s="76"/>
      <c r="U72" s="76"/>
      <c r="V72" s="76"/>
      <c r="W72" s="76"/>
      <c r="X72" s="76"/>
      <c r="Y72" s="79"/>
      <c r="Z72" s="76"/>
      <c r="AA72" s="76"/>
      <c r="AB72" s="76"/>
      <c r="AC72" s="76"/>
      <c r="AD72" s="76"/>
      <c r="AE72" s="80"/>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79"/>
      <c r="O73" s="84"/>
      <c r="P73" s="68"/>
      <c r="Q73" s="72"/>
      <c r="R73" s="81" t="str">
        <f>IF(Q73="","",IF(Q73=Q74,"R",""))</f>
        <v/>
      </c>
      <c r="S73" s="78"/>
      <c r="T73" s="76"/>
      <c r="U73" s="76"/>
      <c r="V73" s="76"/>
      <c r="W73" s="76"/>
      <c r="X73" s="76"/>
      <c r="Y73" s="79"/>
      <c r="Z73" s="76"/>
      <c r="AA73" s="76"/>
      <c r="AB73" s="76"/>
      <c r="AC73" s="76"/>
      <c r="AD73" s="76"/>
      <c r="AE73" s="80"/>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79"/>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79"/>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79"/>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79"/>
      <c r="O77" s="685"/>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79"/>
      <c r="O78" s="686"/>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c r="J79" s="68"/>
      <c r="K79" s="72"/>
      <c r="L79" s="81"/>
      <c r="M79" s="58"/>
      <c r="N79" s="79"/>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79"/>
      <c r="O80" s="83"/>
      <c r="P80" s="68"/>
      <c r="Q80" s="72"/>
      <c r="R80" s="61"/>
      <c r="S80" s="79"/>
      <c r="T80" s="76"/>
      <c r="U80" s="76"/>
      <c r="V80" s="76"/>
      <c r="W80" s="76"/>
      <c r="X80" s="76"/>
      <c r="Y80" s="79"/>
      <c r="Z80" s="76"/>
      <c r="AA80" s="76"/>
      <c r="AB80" s="76"/>
      <c r="AC80" s="76"/>
      <c r="AD80" s="76"/>
      <c r="AE80" s="80"/>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79"/>
      <c r="O81" s="685"/>
      <c r="P81" s="68"/>
      <c r="Q81" s="72"/>
      <c r="R81" s="81" t="str">
        <f>IF(Q81="","",IF(Q81=Q82,"R",""))</f>
        <v/>
      </c>
      <c r="S81" s="79"/>
      <c r="T81" s="76"/>
      <c r="U81" s="76"/>
      <c r="V81" s="76"/>
      <c r="W81" s="76"/>
      <c r="X81" s="76"/>
      <c r="Y81" s="79"/>
      <c r="Z81" s="76"/>
      <c r="AA81" s="76"/>
      <c r="AB81" s="76"/>
      <c r="AC81" s="76"/>
      <c r="AD81" s="76"/>
      <c r="AE81" s="80"/>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79"/>
      <c r="O82" s="686"/>
      <c r="P82" s="68"/>
      <c r="Q82" s="72"/>
      <c r="R82" s="61"/>
      <c r="S82" s="80"/>
      <c r="T82" s="76"/>
      <c r="U82" s="76"/>
      <c r="V82" s="76"/>
      <c r="W82" s="76"/>
      <c r="X82" s="76"/>
      <c r="Y82" s="80"/>
      <c r="Z82" s="76"/>
      <c r="AA82" s="76"/>
      <c r="AB82" s="76"/>
      <c r="AC82" s="76"/>
      <c r="AD82" s="76"/>
      <c r="AE82" s="80"/>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79"/>
      <c r="O83" s="82"/>
      <c r="P83" s="68"/>
      <c r="Q83" s="72"/>
      <c r="R83" s="81" t="str">
        <f>IF(Q83="","",IF(Q83=Q84,"R",""))</f>
        <v/>
      </c>
      <c r="S83" s="80"/>
      <c r="T83" s="76"/>
      <c r="U83" s="76"/>
      <c r="V83" s="76"/>
      <c r="W83" s="76"/>
      <c r="X83" s="76"/>
      <c r="Y83" s="80"/>
      <c r="Z83" s="76"/>
      <c r="AA83" s="76"/>
      <c r="AB83" s="76"/>
      <c r="AC83" s="76"/>
      <c r="AD83" s="76"/>
      <c r="AE83" s="80"/>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79"/>
      <c r="O84" s="83"/>
      <c r="P84" s="68"/>
      <c r="Q84" s="72"/>
      <c r="R84" s="61"/>
      <c r="S84" s="80"/>
      <c r="T84" s="76"/>
      <c r="U84" s="76"/>
      <c r="V84" s="76"/>
      <c r="W84" s="76"/>
      <c r="X84" s="76"/>
      <c r="Y84" s="80"/>
      <c r="Z84" s="76"/>
      <c r="AA84" s="76"/>
      <c r="AB84" s="76"/>
      <c r="AC84" s="76"/>
      <c r="AD84" s="76"/>
      <c r="AE84" s="80"/>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79"/>
      <c r="O85" s="685"/>
      <c r="P85" s="68"/>
      <c r="Q85" s="72"/>
      <c r="R85" s="81" t="str">
        <f>IF(Q85="","",IF(Q85=Q86,"R",""))</f>
        <v/>
      </c>
      <c r="S85" s="80"/>
      <c r="T85" s="76"/>
      <c r="U85" s="76"/>
      <c r="V85" s="76"/>
      <c r="W85" s="76"/>
      <c r="X85" s="76"/>
      <c r="Y85" s="80"/>
      <c r="Z85" s="76"/>
      <c r="AA85" s="76"/>
      <c r="AB85" s="76"/>
      <c r="AC85" s="76"/>
      <c r="AD85" s="76"/>
      <c r="AE85" s="80"/>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79"/>
      <c r="O86" s="686"/>
      <c r="P86" s="68"/>
      <c r="Q86" s="72"/>
      <c r="R86" s="61"/>
      <c r="S86" s="80"/>
      <c r="T86" s="76"/>
      <c r="U86" s="76"/>
      <c r="V86" s="76"/>
      <c r="W86" s="76"/>
      <c r="X86" s="76"/>
      <c r="Y86" s="80"/>
      <c r="Z86" s="76"/>
      <c r="AA86" s="76"/>
      <c r="AB86" s="76"/>
      <c r="AC86" s="76"/>
      <c r="AD86" s="76"/>
      <c r="AE86" s="80"/>
      <c r="AF86" s="76"/>
      <c r="AG86" s="76"/>
      <c r="AH86" s="76"/>
      <c r="AI86" s="76"/>
      <c r="AJ86" s="76"/>
      <c r="AK86" s="76"/>
      <c r="AL86" s="76"/>
      <c r="AM86" s="76"/>
      <c r="AN86" s="76"/>
      <c r="AO86" s="76"/>
      <c r="AP86" s="76"/>
      <c r="AQ86" s="76"/>
      <c r="AR86" s="76"/>
      <c r="AS86" s="76"/>
    </row>
    <row r="87" spans="1:45">
      <c r="A87" s="76"/>
      <c r="B87" s="76"/>
      <c r="C87" s="77"/>
      <c r="D87" s="77"/>
      <c r="E87" s="76"/>
      <c r="H87" s="76"/>
      <c r="I87" s="685"/>
      <c r="J87" s="68"/>
      <c r="K87" s="72"/>
      <c r="L87" s="81" t="str">
        <f>IF(K87="","",IF(K87=K88,"R",""))</f>
        <v/>
      </c>
      <c r="M87" s="58"/>
      <c r="N87" s="79"/>
      <c r="O87" s="82"/>
      <c r="P87" s="68"/>
      <c r="Q87" s="72"/>
      <c r="R87" s="81" t="str">
        <f>IF(Q87="","",IF(Q87=Q88,"R",""))</f>
        <v/>
      </c>
      <c r="S87" s="80"/>
      <c r="T87" s="76"/>
      <c r="U87" s="76"/>
      <c r="V87" s="76"/>
      <c r="W87" s="76"/>
      <c r="X87" s="76"/>
      <c r="Y87" s="80"/>
      <c r="Z87" s="76"/>
      <c r="AA87" s="76"/>
      <c r="AB87" s="76"/>
      <c r="AC87" s="76"/>
      <c r="AD87" s="76"/>
      <c r="AE87" s="80"/>
      <c r="AF87" s="76"/>
      <c r="AG87" s="76"/>
      <c r="AH87" s="76"/>
      <c r="AI87" s="76"/>
      <c r="AJ87" s="76"/>
      <c r="AK87" s="76"/>
      <c r="AL87" s="76"/>
      <c r="AM87" s="76"/>
      <c r="AN87" s="76"/>
      <c r="AO87" s="76"/>
      <c r="AP87" s="76"/>
      <c r="AQ87" s="76"/>
      <c r="AR87" s="76"/>
      <c r="AS87" s="76"/>
    </row>
    <row r="88" spans="1:45">
      <c r="A88" s="76"/>
      <c r="B88" s="76"/>
      <c r="C88" s="77"/>
      <c r="D88" s="77"/>
      <c r="E88" s="76"/>
      <c r="H88" s="76"/>
      <c r="I88" s="686"/>
      <c r="J88" s="68"/>
      <c r="K88" s="72"/>
      <c r="L88" s="61"/>
      <c r="M88" s="58"/>
      <c r="N88" s="79"/>
      <c r="O88" s="83"/>
      <c r="P88" s="68"/>
      <c r="Q88" s="72"/>
      <c r="R88" s="61"/>
      <c r="S88" s="80"/>
      <c r="T88" s="76"/>
      <c r="U88" s="76"/>
      <c r="V88" s="76"/>
      <c r="W88" s="76"/>
      <c r="X88" s="76"/>
      <c r="Y88" s="80"/>
      <c r="Z88" s="76"/>
      <c r="AA88" s="76"/>
      <c r="AB88" s="76"/>
      <c r="AC88" s="76"/>
      <c r="AD88" s="76"/>
      <c r="AE88" s="80"/>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79"/>
      <c r="O89" s="685"/>
      <c r="P89" s="68"/>
      <c r="Q89" s="72"/>
      <c r="R89" s="81" t="str">
        <f>IF(Q89="","",IF(Q89=Q90,"R",""))</f>
        <v/>
      </c>
      <c r="S89" s="80"/>
      <c r="T89" s="76"/>
      <c r="U89" s="76"/>
      <c r="V89" s="76"/>
      <c r="W89" s="76"/>
      <c r="X89" s="76"/>
      <c r="Y89" s="80"/>
      <c r="Z89" s="76"/>
      <c r="AA89" s="76"/>
      <c r="AB89" s="76"/>
      <c r="AC89" s="76"/>
      <c r="AD89" s="76"/>
      <c r="AE89" s="80"/>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79"/>
      <c r="O90" s="686"/>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5"/>
      <c r="J91" s="68"/>
      <c r="K91" s="72"/>
      <c r="L91" s="81" t="str">
        <f>IF(K91="","",IF(K91=K92,"R",""))</f>
        <v/>
      </c>
      <c r="M91" s="58"/>
      <c r="N91" s="79"/>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6"/>
      <c r="J92" s="68"/>
      <c r="K92" s="72"/>
      <c r="L92" s="61"/>
      <c r="M92" s="58"/>
      <c r="N92" s="79"/>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79"/>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79"/>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79"/>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79"/>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79"/>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79"/>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79"/>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79"/>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79"/>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79"/>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79"/>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79"/>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79"/>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79"/>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79"/>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79"/>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79"/>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79"/>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79"/>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79"/>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79"/>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79"/>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79"/>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79"/>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79"/>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79"/>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79"/>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79"/>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79"/>
    </row>
    <row r="122" spans="1:45">
      <c r="I122" s="59"/>
      <c r="J122" s="58"/>
      <c r="K122" s="58"/>
      <c r="L122" s="58"/>
      <c r="M122" s="58"/>
      <c r="N122" s="79"/>
    </row>
    <row r="123" spans="1:45">
      <c r="I123" s="59"/>
      <c r="J123" s="58"/>
      <c r="K123" s="58"/>
      <c r="L123" s="58"/>
      <c r="M123" s="58"/>
      <c r="N123" s="80"/>
    </row>
    <row r="124" spans="1:45">
      <c r="I124" s="59"/>
      <c r="J124" s="58"/>
      <c r="K124" s="58"/>
      <c r="L124" s="58"/>
      <c r="M124" s="58"/>
      <c r="N124" s="80"/>
    </row>
    <row r="125" spans="1:45">
      <c r="I125" s="59"/>
      <c r="J125" s="58"/>
      <c r="K125" s="58"/>
      <c r="L125" s="58"/>
      <c r="M125" s="58"/>
      <c r="N125" s="80"/>
    </row>
    <row r="126" spans="1:45">
      <c r="I126" s="59"/>
      <c r="J126" s="58"/>
      <c r="K126" s="58"/>
      <c r="L126" s="58"/>
      <c r="M126" s="58"/>
      <c r="N126" s="80"/>
    </row>
    <row r="127" spans="1:45">
      <c r="I127" s="59"/>
      <c r="J127" s="58"/>
      <c r="K127" s="58"/>
      <c r="L127" s="58"/>
      <c r="M127" s="58"/>
      <c r="N127" s="80"/>
    </row>
    <row r="128" spans="1:45">
      <c r="I128" s="59"/>
      <c r="J128" s="58"/>
      <c r="K128" s="58"/>
      <c r="L128" s="58"/>
      <c r="M128" s="58"/>
      <c r="N128" s="80"/>
    </row>
    <row r="129" spans="9:14">
      <c r="I129" s="59"/>
      <c r="J129" s="58"/>
      <c r="K129" s="58"/>
      <c r="L129" s="58"/>
      <c r="M129" s="58"/>
      <c r="N129" s="80"/>
    </row>
    <row r="130" spans="9:14">
      <c r="I130" s="59"/>
      <c r="J130" s="58"/>
      <c r="K130" s="58"/>
      <c r="L130" s="58"/>
      <c r="M130" s="58"/>
      <c r="N130" s="80"/>
    </row>
    <row r="131" spans="9:14">
      <c r="I131" s="59"/>
      <c r="J131" s="58"/>
      <c r="K131" s="58"/>
      <c r="L131" s="58"/>
      <c r="M131" s="58"/>
      <c r="N131" s="80"/>
    </row>
    <row r="132" spans="9:14">
      <c r="I132" s="59"/>
      <c r="J132" s="58"/>
      <c r="K132" s="58"/>
      <c r="L132" s="58"/>
      <c r="M132" s="58"/>
      <c r="N132" s="80"/>
    </row>
    <row r="133" spans="9:14">
      <c r="I133" s="77"/>
      <c r="J133" s="76"/>
      <c r="K133" s="76"/>
      <c r="L133" s="76"/>
      <c r="M133" s="76"/>
      <c r="N133" s="80"/>
    </row>
    <row r="134" spans="9:14">
      <c r="I134" s="77"/>
      <c r="J134" s="76"/>
      <c r="K134" s="76"/>
      <c r="L134" s="76"/>
      <c r="M134" s="76"/>
      <c r="N134" s="80"/>
    </row>
    <row r="135" spans="9:14">
      <c r="I135" s="77"/>
      <c r="J135" s="76"/>
      <c r="K135" s="76"/>
      <c r="L135" s="76"/>
      <c r="M135" s="76"/>
      <c r="N135" s="80"/>
    </row>
    <row r="136" spans="9:14">
      <c r="I136" s="77"/>
      <c r="J136" s="76"/>
      <c r="K136" s="76"/>
      <c r="L136" s="76"/>
      <c r="M136" s="76"/>
      <c r="N136" s="80"/>
    </row>
    <row r="137" spans="9:14">
      <c r="I137" s="77"/>
      <c r="J137" s="76"/>
      <c r="K137" s="76"/>
      <c r="L137" s="76"/>
      <c r="M137" s="76"/>
      <c r="N137" s="80"/>
    </row>
    <row r="138" spans="9:14">
      <c r="I138" s="77"/>
      <c r="J138" s="76"/>
      <c r="K138" s="76"/>
      <c r="L138" s="76"/>
      <c r="M138" s="76"/>
      <c r="N138" s="80"/>
    </row>
    <row r="139" spans="9:14">
      <c r="I139" s="77"/>
      <c r="J139" s="76"/>
      <c r="K139" s="76"/>
      <c r="L139" s="76"/>
      <c r="M139" s="76"/>
      <c r="N139" s="80"/>
    </row>
    <row r="140" spans="9:14">
      <c r="I140" s="77"/>
      <c r="J140" s="76"/>
      <c r="K140" s="76"/>
      <c r="L140" s="76"/>
      <c r="M140" s="76"/>
      <c r="N140" s="80"/>
    </row>
    <row r="141" spans="9:14">
      <c r="I141" s="77"/>
      <c r="J141" s="76"/>
      <c r="K141" s="76"/>
      <c r="L141" s="76"/>
      <c r="M141" s="76"/>
      <c r="N141" s="80"/>
    </row>
    <row r="142" spans="9:14">
      <c r="I142" s="77"/>
      <c r="J142" s="76"/>
      <c r="K142" s="76"/>
      <c r="L142" s="76"/>
      <c r="M142" s="76"/>
      <c r="N142" s="80"/>
    </row>
    <row r="143" spans="9:14">
      <c r="I143" s="77"/>
      <c r="J143" s="76"/>
      <c r="K143" s="76"/>
      <c r="L143" s="76"/>
      <c r="M143" s="76"/>
      <c r="N143" s="80"/>
    </row>
    <row r="144" spans="9:14">
      <c r="I144" s="77"/>
      <c r="J144" s="76"/>
      <c r="K144" s="76"/>
      <c r="L144" s="76"/>
      <c r="M144" s="76"/>
      <c r="N144" s="80"/>
    </row>
    <row r="145" spans="9:14">
      <c r="I145" s="77"/>
      <c r="J145" s="76"/>
      <c r="K145" s="76"/>
      <c r="L145" s="76"/>
      <c r="M145" s="76"/>
      <c r="N145" s="80"/>
    </row>
    <row r="146" spans="9:14">
      <c r="I146" s="77"/>
      <c r="J146" s="76"/>
      <c r="K146" s="76"/>
      <c r="L146" s="76"/>
      <c r="M146" s="76"/>
      <c r="N146" s="80"/>
    </row>
    <row r="147" spans="9:14">
      <c r="I147" s="77"/>
      <c r="J147" s="76"/>
      <c r="K147" s="76"/>
      <c r="L147" s="76"/>
      <c r="M147" s="76"/>
      <c r="N147" s="80"/>
    </row>
    <row r="148" spans="9:14">
      <c r="I148" s="77"/>
      <c r="J148" s="76"/>
      <c r="K148" s="76"/>
      <c r="L148" s="76"/>
      <c r="M148" s="76"/>
      <c r="N148" s="80"/>
    </row>
    <row r="149" spans="9:14">
      <c r="I149" s="77"/>
      <c r="J149" s="76"/>
      <c r="K149" s="76"/>
      <c r="L149" s="76"/>
      <c r="M149" s="76"/>
      <c r="N149" s="80"/>
    </row>
    <row r="150" spans="9:14">
      <c r="I150" s="77"/>
      <c r="J150" s="76"/>
      <c r="K150" s="76"/>
      <c r="L150" s="76"/>
      <c r="M150" s="76"/>
      <c r="N150" s="80"/>
    </row>
    <row r="151" spans="9:14">
      <c r="I151" s="77"/>
      <c r="J151" s="76"/>
      <c r="K151" s="76"/>
      <c r="L151" s="76"/>
      <c r="M151" s="76"/>
      <c r="N151" s="80"/>
    </row>
    <row r="152" spans="9:14">
      <c r="I152" s="77"/>
      <c r="J152" s="76"/>
      <c r="K152" s="76"/>
      <c r="L152" s="76"/>
      <c r="M152" s="76"/>
      <c r="N152" s="80"/>
    </row>
    <row r="153" spans="9:14">
      <c r="I153" s="77"/>
      <c r="J153" s="76"/>
      <c r="K153" s="76"/>
      <c r="L153" s="76"/>
      <c r="M153" s="76"/>
      <c r="N153" s="80"/>
    </row>
    <row r="154" spans="9:14">
      <c r="I154" s="77"/>
      <c r="J154" s="76"/>
      <c r="K154" s="76"/>
      <c r="L154" s="76"/>
      <c r="M154" s="76"/>
      <c r="N154" s="80"/>
    </row>
    <row r="155" spans="9:14">
      <c r="I155" s="77"/>
      <c r="J155" s="76"/>
      <c r="K155" s="76"/>
      <c r="L155" s="76"/>
      <c r="M155" s="76"/>
      <c r="N155" s="80"/>
    </row>
    <row r="156" spans="9:14">
      <c r="I156" s="77"/>
      <c r="J156" s="76"/>
      <c r="K156" s="76"/>
      <c r="L156" s="76"/>
      <c r="M156" s="76"/>
      <c r="N156" s="80"/>
    </row>
    <row r="157" spans="9:14">
      <c r="I157" s="77"/>
      <c r="J157" s="76"/>
      <c r="K157" s="76"/>
      <c r="L157" s="76"/>
      <c r="M157" s="76"/>
      <c r="N157" s="80"/>
    </row>
    <row r="158" spans="9:14">
      <c r="I158" s="77"/>
      <c r="J158" s="76"/>
      <c r="K158" s="76"/>
      <c r="L158" s="76"/>
      <c r="M158" s="76"/>
      <c r="N158" s="80"/>
    </row>
    <row r="159" spans="9:14">
      <c r="I159" s="77"/>
      <c r="J159" s="76"/>
      <c r="K159" s="76"/>
      <c r="L159" s="76"/>
      <c r="M159" s="76"/>
      <c r="N159" s="80"/>
    </row>
    <row r="160" spans="9:14">
      <c r="I160" s="77"/>
      <c r="J160" s="76"/>
      <c r="K160" s="76"/>
      <c r="L160" s="76"/>
      <c r="M160" s="76"/>
      <c r="N160" s="80"/>
    </row>
    <row r="161" spans="9:14">
      <c r="I161" s="77"/>
      <c r="J161" s="76"/>
      <c r="K161" s="76"/>
      <c r="L161" s="76"/>
      <c r="M161" s="76"/>
      <c r="N161" s="80"/>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45">
    <sortCondition ref="F2:F45"/>
  </sortState>
  <mergeCells count="9">
    <mergeCell ref="I87:I88"/>
    <mergeCell ref="I91:I92"/>
    <mergeCell ref="O2:O3"/>
    <mergeCell ref="AS7:AS8"/>
    <mergeCell ref="O85:O86"/>
    <mergeCell ref="O89:O90"/>
    <mergeCell ref="AM8:AM9"/>
    <mergeCell ref="O77:O78"/>
    <mergeCell ref="O81:O82"/>
  </mergeCells>
  <conditionalFormatting sqref="P2:P65">
    <cfRule type="expression" dxfId="58" priority="124">
      <formula>Q2&lt;Q3</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V38">
    <cfRule type="expression" dxfId="13" priority="15">
      <formula>W38&lt;W39</formula>
    </cfRule>
  </conditionalFormatting>
  <conditionalFormatting sqref="V39">
    <cfRule type="expression" dxfId="12" priority="14">
      <formula>W39&lt;W38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85"/>
  <sheetViews>
    <sheetView topLeftCell="J1" zoomScale="80" zoomScaleNormal="80" workbookViewId="0">
      <pane ySplit="1" topLeftCell="A20" activePane="bottomLeft" state="frozen"/>
      <selection pane="bottomLeft" activeCell="AD1" sqref="AD1:AL47"/>
    </sheetView>
  </sheetViews>
  <sheetFormatPr defaultColWidth="9.1328125" defaultRowHeight="13.15"/>
  <cols>
    <col min="1" max="1" width="22.1328125" style="10" bestFit="1" customWidth="1"/>
    <col min="2" max="2" width="20.3984375" style="14" customWidth="1"/>
    <col min="3" max="3" width="6" style="613" customWidth="1"/>
    <col min="4" max="4" width="8.73046875" style="18" customWidth="1"/>
    <col min="5" max="5" width="8" style="10" customWidth="1"/>
    <col min="6" max="6" width="8.59765625" style="128" customWidth="1"/>
    <col min="7" max="7" width="8.86328125" style="10" customWidth="1"/>
    <col min="8" max="8" width="6.73046875" style="421" customWidth="1"/>
    <col min="9" max="9" width="6.8632812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9.1328125" style="10" hidden="1" customWidth="1"/>
    <col min="28" max="28" width="14.265625" style="10" customWidth="1"/>
    <col min="29" max="29" width="9.3984375" style="10" customWidth="1"/>
    <col min="30" max="30" width="21.86328125" style="8" customWidth="1"/>
    <col min="31" max="31" width="12.59765625" style="8" customWidth="1"/>
    <col min="32" max="32" width="12.59765625" style="27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27" t="s">
        <v>16</v>
      </c>
      <c r="B1" s="427" t="s">
        <v>25</v>
      </c>
      <c r="C1" s="612" t="s">
        <v>491</v>
      </c>
      <c r="D1" s="428" t="s">
        <v>156</v>
      </c>
      <c r="E1" s="429" t="s">
        <v>253</v>
      </c>
      <c r="F1" s="429" t="s">
        <v>28</v>
      </c>
      <c r="G1" s="430" t="s">
        <v>160</v>
      </c>
      <c r="H1" s="195">
        <f>entrants-SUM(H2:H139)-Inactive</f>
        <v>1</v>
      </c>
      <c r="I1" s="362" t="s">
        <v>338</v>
      </c>
      <c r="J1" s="476" t="s">
        <v>432</v>
      </c>
      <c r="K1" s="661" t="s">
        <v>54</v>
      </c>
      <c r="L1" s="662" t="s">
        <v>55</v>
      </c>
      <c r="M1" s="663" t="s">
        <v>17</v>
      </c>
      <c r="N1" s="663" t="s">
        <v>53</v>
      </c>
      <c r="O1" s="591"/>
      <c r="P1" s="527" t="s">
        <v>19</v>
      </c>
      <c r="Q1" s="190"/>
      <c r="R1" s="191" t="s">
        <v>48</v>
      </c>
      <c r="S1" s="192" t="s">
        <v>31</v>
      </c>
      <c r="T1" s="193" t="s">
        <v>52</v>
      </c>
      <c r="U1" s="20" t="s">
        <v>20</v>
      </c>
      <c r="V1" s="20" t="s">
        <v>44</v>
      </c>
      <c r="W1" s="20" t="s">
        <v>21</v>
      </c>
      <c r="X1" s="20" t="s">
        <v>45</v>
      </c>
      <c r="Y1" s="20" t="s">
        <v>472</v>
      </c>
      <c r="AA1" s="194"/>
      <c r="AB1" s="624" t="s">
        <v>31</v>
      </c>
      <c r="AC1" s="625" t="s">
        <v>532</v>
      </c>
      <c r="AD1" s="189" t="s">
        <v>179</v>
      </c>
      <c r="AE1" s="363" t="s">
        <v>340</v>
      </c>
      <c r="AF1" s="415" t="s">
        <v>404</v>
      </c>
      <c r="AG1" s="363" t="s">
        <v>342</v>
      </c>
      <c r="AI1" s="189" t="s">
        <v>16</v>
      </c>
      <c r="AJ1" s="363" t="s">
        <v>341</v>
      </c>
      <c r="AK1" s="415" t="s">
        <v>404</v>
      </c>
      <c r="AL1" s="363" t="s">
        <v>342</v>
      </c>
      <c r="AN1" s="20">
        <f>COUNTIF(F2:F139,-10)</f>
        <v>1</v>
      </c>
    </row>
    <row r="2" spans="1:40" ht="13.9" thickTop="1" thickBot="1">
      <c r="A2" s="629" t="str">
        <f>Results!B2</f>
        <v>Alan Bond</v>
      </c>
      <c r="B2" s="630" t="str">
        <f>IF(J2="","",TRIM(CLEAN(J2)))</f>
        <v>West Ham draw</v>
      </c>
      <c r="C2" s="631">
        <f>IF(J2="","",INDEX(Odds!C:C,MATCH(J2,Odds!G:G,0)))</f>
        <v>7</v>
      </c>
      <c r="D2" s="632">
        <f>IF(J2="","",L2)</f>
        <v>3.4</v>
      </c>
      <c r="E2" s="633" t="str">
        <f>IF(J2="","",IF(M2=1,"√","x"))</f>
        <v>x</v>
      </c>
      <c r="F2" s="634">
        <f>IF(J2="",-10,INDEX(Results!T:T,MATCH(A2,Results!V:V,0)))</f>
        <v>-7</v>
      </c>
      <c r="G2" s="635">
        <f>IF(J2="","",INDEX(Results!AI:AI,MATCH(A2,Results!V:V,0)))</f>
        <v>64.16</v>
      </c>
      <c r="H2" s="360" t="str">
        <f>IF(INDEX(Table!Q:Q,MATCH(A2,Table!F:F,0))="N","N","Y")</f>
        <v>Y</v>
      </c>
      <c r="I2" s="359">
        <f>INDEX(Picks!AG:AG,MATCH(A2,Picks!AD:AD,0))</f>
        <v>36</v>
      </c>
      <c r="J2" s="419" t="s">
        <v>638</v>
      </c>
      <c r="K2" s="651" t="str">
        <f>INDEX(Odds!H:H,MATCH(J2,Odds!G:G,0))</f>
        <v>12/5</v>
      </c>
      <c r="L2" s="652">
        <f>INDEX(Odds!I:I,MATCH(J2,Odds!G:G,0))</f>
        <v>3.4</v>
      </c>
      <c r="M2" s="653">
        <f>INDEX(Odds!J:J,MATCH(J2,Odds!G:G,0))</f>
        <v>0</v>
      </c>
      <c r="N2" s="654">
        <f>L2*M2</f>
        <v>0</v>
      </c>
      <c r="O2" s="524"/>
      <c r="P2" s="521" t="str">
        <f>IF(Match!B2="","",Match!V2)</f>
        <v xml:space="preserve">Ipswich 5-0 Sheff U </v>
      </c>
      <c r="Q2" s="88"/>
      <c r="R2" s="37" t="str">
        <f>IF(Odds!G2="","",Odds!G2)</f>
        <v>Ipswich</v>
      </c>
      <c r="S2" s="38" t="str">
        <f>INDEX(Odds!H:H,MATCH(R2,Odds!G:G,0))</f>
        <v>17/20</v>
      </c>
      <c r="T2" s="39">
        <f t="shared" ref="T2:T46" si="0">IF(V2&gt;X2,1,0)</f>
        <v>1</v>
      </c>
      <c r="U2" s="20" t="str">
        <f>INDEX(Match!Q:Q,MATCH(P2,Match!V:V,0))</f>
        <v>Ipswich</v>
      </c>
      <c r="V2" s="20">
        <f>INDEX(Match!G:G,MATCH(P2,Match!V:V,0))</f>
        <v>5</v>
      </c>
      <c r="W2" s="20" t="str">
        <f>INDEX(Match!R:R,MATCH(P2,Match!V:V,0))</f>
        <v>Sheff U</v>
      </c>
      <c r="X2" s="20">
        <f>INDEX(Match!H:H,MATCH(P2,Match!V:V,0))</f>
        <v>0</v>
      </c>
      <c r="Y2" s="8">
        <f>INDEX(Odds!K:K,MATCH(J2,Odds!G:G,0))</f>
        <v>1</v>
      </c>
      <c r="AB2" s="528" t="str">
        <f>IF(O2="","",INDEX(Odds!H:H,MATCH(O2,Odds!G:G,0)))</f>
        <v/>
      </c>
      <c r="AC2" s="528" t="str">
        <f>IF(INDEX(Table!Q:Q,MATCH(A2,Table!F:F,0))="N","N","")</f>
        <v/>
      </c>
      <c r="AD2" s="69" t="s">
        <v>297</v>
      </c>
      <c r="AE2" s="72">
        <f>INDEX(Picks!F:F,MATCH(AD2,Picks!A:A,0))</f>
        <v>24.64</v>
      </c>
      <c r="AF2" s="416">
        <f>INDEX(Weekly!I:I,MATCH(AD2,Weekly!E:E,0))</f>
        <v>3</v>
      </c>
      <c r="AG2" s="69">
        <f>IF(AE2=-10,"",_xlfn.RANK.EQ(AE2,TopScores,0))</f>
        <v>1</v>
      </c>
      <c r="AI2" s="71" t="s">
        <v>299</v>
      </c>
      <c r="AJ2" s="72" t="str">
        <f>INDEX(Picks!G:G,MATCH(AI2,Picks!A:A,0))</f>
        <v/>
      </c>
      <c r="AK2" s="416">
        <f>INDEX(Weekly!I:I,MATCH(AI2,Weekly!E:E,0))</f>
        <v>0</v>
      </c>
      <c r="AL2" s="69" t="str">
        <f>IF(AJ2="","",_xlfn.RANK.EQ(AJ2,TopMaxScores,0))</f>
        <v/>
      </c>
    </row>
    <row r="3" spans="1:40">
      <c r="A3" s="636" t="str">
        <f>A2</f>
        <v>Alan Bond</v>
      </c>
      <c r="B3" s="637" t="str">
        <f t="shared" ref="B3:B59" si="1">IF(J3="","",J3)</f>
        <v>Wimbledon draw</v>
      </c>
      <c r="C3" s="631">
        <f>IF(J3="","",INDEX(Odds!C:C,MATCH(J3,Odds!G:G,0)))</f>
        <v>7</v>
      </c>
      <c r="D3" s="638">
        <f t="shared" ref="D3:D60" si="2">IF(J3="","",L3)</f>
        <v>3.1</v>
      </c>
      <c r="E3" s="639" t="str">
        <f t="shared" ref="E3:E66" si="3">IF(J3="","",IF(M3=1,"√","x"))</f>
        <v>x</v>
      </c>
      <c r="F3" s="640"/>
      <c r="G3" s="641"/>
      <c r="H3" s="360">
        <f>IF(G2="",0,1)</f>
        <v>1</v>
      </c>
      <c r="I3" s="360"/>
      <c r="J3" s="419" t="s">
        <v>639</v>
      </c>
      <c r="K3" s="655" t="str">
        <f>INDEX(Odds!H:H,MATCH(J3,Odds!G:G,0))</f>
        <v>21/10</v>
      </c>
      <c r="L3" s="656">
        <f>INDEX(Odds!I:I,MATCH(J3,Odds!G:G,0))</f>
        <v>3.1</v>
      </c>
      <c r="M3" s="653">
        <f>INDEX(Odds!J:J,MATCH(J3,Odds!G:G,0))</f>
        <v>0</v>
      </c>
      <c r="N3" s="654">
        <f>L3*M3</f>
        <v>0</v>
      </c>
      <c r="O3" s="525"/>
      <c r="P3" s="522" t="str">
        <f>IF(Match!B3="","",Match!V3)</f>
        <v xml:space="preserve">Arsenal 3-0 Forest </v>
      </c>
      <c r="Q3" s="88"/>
      <c r="R3" s="35" t="str">
        <f>IF(Odds!G3="","",Odds!G3)</f>
        <v>Arsenal</v>
      </c>
      <c r="S3" s="36" t="str">
        <f>INDEX(Odds!H:H,MATCH(R3,Odds!G:G,0))</f>
        <v>2/5</v>
      </c>
      <c r="T3" s="40">
        <f t="shared" si="0"/>
        <v>1</v>
      </c>
      <c r="U3" s="20" t="str">
        <f>INDEX(Match!Q:Q,MATCH(P3,Match!V:V,0))</f>
        <v>Arsenal</v>
      </c>
      <c r="V3" s="20">
        <f>INDEX(Match!G:G,MATCH(P3,Match!V:V,0))</f>
        <v>3</v>
      </c>
      <c r="W3" s="20" t="str">
        <f>INDEX(Match!R:R,MATCH(P3,Match!V:V,0))</f>
        <v>Forest</v>
      </c>
      <c r="X3" s="20">
        <f>INDEX(Match!H:H,MATCH(P3,Match!V:V,0))</f>
        <v>0</v>
      </c>
      <c r="Y3" s="8">
        <f>INDEX(Odds!K:K,MATCH(J3,Odds!G:G,0))</f>
        <v>1</v>
      </c>
      <c r="AB3" s="528" t="str">
        <f>IF(O3="","",INDEX(Odds!H:H,MATCH(O3,Odds!G:G,0)))</f>
        <v/>
      </c>
      <c r="AC3" s="528" t="str">
        <f>IF(INDEX(Table!Q:Q,MATCH(A3,Table!F:F,0))="N","N","")</f>
        <v/>
      </c>
      <c r="AD3" s="69" t="s">
        <v>276</v>
      </c>
      <c r="AE3" s="72">
        <f>INDEX(Picks!F:F,MATCH(AD3,Picks!A:A,0))</f>
        <v>23.156363636363636</v>
      </c>
      <c r="AF3" s="416">
        <f>INDEX(Weekly!I:I,MATCH(AD3,Weekly!E:E,0))</f>
        <v>3</v>
      </c>
      <c r="AG3" s="69">
        <f>IF(AE3=-10,"",_xlfn.RANK.EQ(AE3,TopScores,0))</f>
        <v>2</v>
      </c>
      <c r="AI3" s="69" t="s">
        <v>353</v>
      </c>
      <c r="AJ3" s="72">
        <f>INDEX(Picks!G:G,MATCH(AI3,Picks!A:A,0))</f>
        <v>374.5</v>
      </c>
      <c r="AK3" s="416">
        <f>INDEX(Weekly!I:I,MATCH(AI3,Weekly!E:E,0))</f>
        <v>0</v>
      </c>
      <c r="AL3" s="69">
        <f>IF(AJ3="","",_xlfn.RANK.EQ(AJ3,TopMaxScores,0))</f>
        <v>1</v>
      </c>
    </row>
    <row r="4" spans="1:40" ht="13.5" thickBot="1">
      <c r="A4" s="642" t="str">
        <f>A2</f>
        <v>Alan Bond</v>
      </c>
      <c r="B4" s="643" t="str">
        <f t="shared" si="1"/>
        <v>Gillingham draw</v>
      </c>
      <c r="C4" s="644">
        <f>IF(J4="","",INDEX(Odds!C:C,MATCH(J4,Odds!G:G,0)))</f>
        <v>7</v>
      </c>
      <c r="D4" s="645">
        <f t="shared" si="2"/>
        <v>3</v>
      </c>
      <c r="E4" s="639" t="str">
        <f t="shared" si="3"/>
        <v>x</v>
      </c>
      <c r="F4" s="640"/>
      <c r="G4" s="641"/>
      <c r="H4" s="360"/>
      <c r="I4" s="360"/>
      <c r="J4" s="420" t="s">
        <v>640</v>
      </c>
      <c r="K4" s="657" t="str">
        <f>INDEX(Odds!H:H,MATCH(J4,Odds!G:G,0))</f>
        <v>2/1</v>
      </c>
      <c r="L4" s="658">
        <f>INDEX(Odds!I:I,MATCH(J4,Odds!G:G,0))</f>
        <v>3</v>
      </c>
      <c r="M4" s="653">
        <f>INDEX(Odds!J:J,MATCH(J4,Odds!G:G,0))</f>
        <v>0</v>
      </c>
      <c r="N4" s="659">
        <f>L4*M4</f>
        <v>0</v>
      </c>
      <c r="O4" s="526"/>
      <c r="P4" s="522" t="str">
        <f>IF(Match!B4="","",Match!V4)</f>
        <v xml:space="preserve">Bournemouth 2-1 Brighton </v>
      </c>
      <c r="Q4" s="88"/>
      <c r="R4" s="35" t="str">
        <f>IF(Odds!G4="","",Odds!G4)</f>
        <v>Bournemouth</v>
      </c>
      <c r="S4" s="36" t="str">
        <f>INDEX(Odds!H:H,MATCH(R4,Odds!G:G,0))</f>
        <v>7/5</v>
      </c>
      <c r="T4" s="40">
        <f t="shared" si="0"/>
        <v>1</v>
      </c>
      <c r="U4" s="20" t="str">
        <f>INDEX(Match!Q:Q,MATCH(P4,Match!V:V,0))</f>
        <v>Bournemouth</v>
      </c>
      <c r="V4" s="20">
        <f>INDEX(Match!G:G,MATCH(P4,Match!V:V,0))</f>
        <v>2</v>
      </c>
      <c r="W4" s="20" t="str">
        <f>INDEX(Match!R:R,MATCH(P4,Match!V:V,0))</f>
        <v>Brighton</v>
      </c>
      <c r="X4" s="20">
        <f>INDEX(Match!H:H,MATCH(P4,Match!V:V,0))</f>
        <v>1</v>
      </c>
      <c r="Y4" s="8">
        <f>INDEX(Odds!K:K,MATCH(J4,Odds!G:G,0))</f>
        <v>1</v>
      </c>
      <c r="AB4" s="529" t="str">
        <f>IF(O4="","",INDEX(Odds!H:H,MATCH(O4,Odds!G:G,0)))</f>
        <v/>
      </c>
      <c r="AC4" s="529" t="str">
        <f>IF(INDEX(Table!Q:Q,MATCH(A4,Table!F:F,0))="N","N","")</f>
        <v/>
      </c>
      <c r="AD4" s="69" t="s">
        <v>487</v>
      </c>
      <c r="AE4" s="72">
        <f>INDEX(Picks!F:F,MATCH(AD4,Picks!A:A,0))</f>
        <v>15.5</v>
      </c>
      <c r="AF4" s="416">
        <f>INDEX(Weekly!I:I,MATCH(AD4,Weekly!E:E,0))</f>
        <v>2</v>
      </c>
      <c r="AG4" s="69">
        <f>IF(AE4=-10,"",_xlfn.RANK.EQ(AE4,TopScores,0))</f>
        <v>3</v>
      </c>
      <c r="AI4" s="71" t="s">
        <v>273</v>
      </c>
      <c r="AJ4" s="72">
        <f>INDEX(Picks!G:G,MATCH(AI4,Picks!A:A,0))</f>
        <v>197.79999999999995</v>
      </c>
      <c r="AK4" s="416">
        <f>INDEX(Weekly!I:I,MATCH(AI4,Weekly!E:E,0))</f>
        <v>0</v>
      </c>
      <c r="AL4" s="69">
        <f>IF(AJ4="","",_xlfn.RANK.EQ(AJ4,TopMaxScores,0))</f>
        <v>2</v>
      </c>
    </row>
    <row r="5" spans="1:40" ht="13.9" thickTop="1" thickBot="1">
      <c r="A5" s="629" t="str">
        <f>Results!B5</f>
        <v>Alan Rogers</v>
      </c>
      <c r="B5" s="630" t="str">
        <f>IF(J5="","",J5)</f>
        <v>Fleetwood</v>
      </c>
      <c r="C5" s="631">
        <f>IF(J5="","",INDEX(Odds!C:C,MATCH(J5,Odds!G:G,0)))</f>
        <v>7</v>
      </c>
      <c r="D5" s="632">
        <f t="shared" si="2"/>
        <v>2.75</v>
      </c>
      <c r="E5" s="633" t="str">
        <f t="shared" si="3"/>
        <v>x</v>
      </c>
      <c r="F5" s="634">
        <f>IF(J5="",-10,INDEX(Results!T:T,MATCH(A5,Results!V:V,0)))</f>
        <v>-4.7</v>
      </c>
      <c r="G5" s="635">
        <f>IF(J5="","",INDEX(Results!AI:AI,MATCH(A5,Results!V:V,0)))</f>
        <v>30.981250000000003</v>
      </c>
      <c r="H5" s="360" t="str">
        <f>IF(INDEX(Table!Q:Q,MATCH(A5,Table!F:F,0))="N","N","Y")</f>
        <v>Y</v>
      </c>
      <c r="I5" s="359">
        <f>INDEX(Picks!AG:AG,MATCH(A5,Picks!AD:AD,0))</f>
        <v>26</v>
      </c>
      <c r="J5" s="419" t="s">
        <v>625</v>
      </c>
      <c r="K5" s="651" t="str">
        <f>INDEX(Odds!H:H,MATCH(J5,Odds!G:G,0))</f>
        <v>7/4</v>
      </c>
      <c r="L5" s="652">
        <f>INDEX(Odds!I:I,MATCH(J5,Odds!G:G,0))</f>
        <v>2.75</v>
      </c>
      <c r="M5" s="660">
        <f>INDEX(Odds!J:J,MATCH(J5,Odds!G:G,0))</f>
        <v>0</v>
      </c>
      <c r="N5" s="654">
        <f t="shared" ref="N5:N61" si="4">L5*M5</f>
        <v>0</v>
      </c>
      <c r="O5" s="525"/>
      <c r="P5" s="522" t="str">
        <f>IF(Match!B5="","",Match!V5)</f>
        <v xml:space="preserve">Brentford 2-2 Chelsea </v>
      </c>
      <c r="Q5" s="88"/>
      <c r="R5" s="35" t="str">
        <f>IF(Odds!G5="","",Odds!G5)</f>
        <v>Brentford</v>
      </c>
      <c r="S5" s="36" t="str">
        <f>INDEX(Odds!H:H,MATCH(R5,Odds!G:G,0))</f>
        <v>17/5</v>
      </c>
      <c r="T5" s="40">
        <f t="shared" si="0"/>
        <v>0</v>
      </c>
      <c r="U5" s="20" t="str">
        <f>INDEX(Match!Q:Q,MATCH(P5,Match!V:V,0))</f>
        <v>Brentford</v>
      </c>
      <c r="V5" s="20">
        <f>INDEX(Match!G:G,MATCH(P5,Match!V:V,0))</f>
        <v>2</v>
      </c>
      <c r="W5" s="20" t="str">
        <f>INDEX(Match!R:R,MATCH(P5,Match!V:V,0))</f>
        <v>Chelsea</v>
      </c>
      <c r="X5" s="20">
        <f>INDEX(Match!H:H,MATCH(P5,Match!V:V,0))</f>
        <v>2</v>
      </c>
      <c r="Y5" s="8">
        <f>INDEX(Odds!K:K,MATCH(J5,Odds!G:G,0))</f>
        <v>1</v>
      </c>
      <c r="AB5" s="528" t="str">
        <f>IF(O5="","",INDEX(Odds!H:H,MATCH(O5,Odds!G:G,0)))</f>
        <v/>
      </c>
      <c r="AC5" s="528" t="str">
        <f>IF(INDEX(Table!Q:Q,MATCH(A5,Table!F:F,0))="N","N","")</f>
        <v/>
      </c>
      <c r="AD5" s="69" t="s">
        <v>290</v>
      </c>
      <c r="AE5" s="72">
        <f>INDEX(Picks!F:F,MATCH(AD5,Picks!A:A,0))</f>
        <v>11.270000000000003</v>
      </c>
      <c r="AF5" s="416">
        <f>INDEX(Weekly!I:I,MATCH(AD5,Weekly!E:E,0))</f>
        <v>2</v>
      </c>
      <c r="AG5" s="69">
        <f>IF(AE5=-10,"",_xlfn.RANK.EQ(AE5,TopScores,0))</f>
        <v>4</v>
      </c>
      <c r="AI5" s="69" t="s">
        <v>502</v>
      </c>
      <c r="AJ5" s="72">
        <f>INDEX(Picks!G:G,MATCH(AI5,Picks!A:A,0))</f>
        <v>147.25</v>
      </c>
      <c r="AK5" s="416">
        <f>INDEX(Weekly!I:I,MATCH(AI5,Weekly!E:E,0))</f>
        <v>0</v>
      </c>
      <c r="AL5" s="69">
        <f>IF(AJ5="","",_xlfn.RANK.EQ(AJ5,TopMaxScores,0))</f>
        <v>3</v>
      </c>
    </row>
    <row r="6" spans="1:40">
      <c r="A6" s="636" t="str">
        <f>A5</f>
        <v>Alan Rogers</v>
      </c>
      <c r="B6" s="637" t="str">
        <f t="shared" si="1"/>
        <v>Gillingham</v>
      </c>
      <c r="C6" s="631">
        <f>IF(J6="","",INDEX(Odds!C:C,MATCH(J6,Odds!G:G,0)))</f>
        <v>7</v>
      </c>
      <c r="D6" s="638">
        <f t="shared" si="2"/>
        <v>2.2999999999999998</v>
      </c>
      <c r="E6" s="639" t="str">
        <f t="shared" si="3"/>
        <v>√</v>
      </c>
      <c r="F6" s="640"/>
      <c r="G6" s="641"/>
      <c r="H6" s="360">
        <f>IF(G5="",0,1)</f>
        <v>1</v>
      </c>
      <c r="I6" s="360"/>
      <c r="J6" s="419" t="s">
        <v>559</v>
      </c>
      <c r="K6" s="655" t="str">
        <f>INDEX(Odds!H:H,MATCH(J6,Odds!G:G,0))</f>
        <v>13/10</v>
      </c>
      <c r="L6" s="656">
        <f>INDEX(Odds!I:I,MATCH(J6,Odds!G:G,0))</f>
        <v>2.2999999999999998</v>
      </c>
      <c r="M6" s="653">
        <f>INDEX(Odds!J:J,MATCH(J6,Odds!G:G,0))</f>
        <v>1</v>
      </c>
      <c r="N6" s="654">
        <f t="shared" si="4"/>
        <v>2.2999999999999998</v>
      </c>
      <c r="O6" s="525"/>
      <c r="P6" s="522" t="str">
        <f>IF(Match!B6="","",Match!V6)</f>
        <v xml:space="preserve">Everton 0-0 Villa </v>
      </c>
      <c r="Q6" s="88"/>
      <c r="R6" s="35" t="str">
        <f>IF(Odds!G6="","",Odds!G6)</f>
        <v>Everton</v>
      </c>
      <c r="S6" s="36" t="str">
        <f>INDEX(Odds!H:H,MATCH(R6,Odds!G:G,0))</f>
        <v>29/20</v>
      </c>
      <c r="T6" s="40">
        <f t="shared" si="0"/>
        <v>0</v>
      </c>
      <c r="U6" s="20" t="str">
        <f>INDEX(Match!Q:Q,MATCH(P6,Match!V:V,0))</f>
        <v>Everton</v>
      </c>
      <c r="V6" s="20">
        <f>INDEX(Match!G:G,MATCH(P6,Match!V:V,0))</f>
        <v>0</v>
      </c>
      <c r="W6" s="20" t="str">
        <f>INDEX(Match!R:R,MATCH(P6,Match!V:V,0))</f>
        <v>Villa</v>
      </c>
      <c r="X6" s="20">
        <f>INDEX(Match!H:H,MATCH(P6,Match!V:V,0))</f>
        <v>0</v>
      </c>
      <c r="Y6" s="8">
        <f>INDEX(Odds!K:K,MATCH(J6,Odds!G:G,0))</f>
        <v>1</v>
      </c>
      <c r="AB6" s="528" t="str">
        <f>IF(O6="","",INDEX(Odds!H:H,MATCH(O6,Odds!G:G,0)))</f>
        <v/>
      </c>
      <c r="AC6" s="528" t="str">
        <f>IF(INDEX(Table!Q:Q,MATCH(A6,Table!F:F,0))="N","N","")</f>
        <v/>
      </c>
      <c r="AD6" s="69" t="s">
        <v>352</v>
      </c>
      <c r="AE6" s="72">
        <f>INDEX(Picks!F:F,MATCH(AD6,Picks!A:A,0))</f>
        <v>9.1120000000000019</v>
      </c>
      <c r="AF6" s="416">
        <f>INDEX(Weekly!I:I,MATCH(AD6,Weekly!E:E,0))</f>
        <v>3</v>
      </c>
      <c r="AG6" s="69">
        <f>IF(AE6=-10,"",_xlfn.RANK.EQ(AE6,TopScores,0))</f>
        <v>5</v>
      </c>
      <c r="AI6" s="69" t="s">
        <v>268</v>
      </c>
      <c r="AJ6" s="72">
        <f>INDEX(Picks!G:G,MATCH(AI6,Picks!A:A,0))</f>
        <v>86.5</v>
      </c>
      <c r="AK6" s="416">
        <f>INDEX(Weekly!I:I,MATCH(AI6,Weekly!E:E,0))</f>
        <v>1</v>
      </c>
      <c r="AL6" s="69">
        <f>IF(AJ6="","",_xlfn.RANK.EQ(AJ6,TopMaxScores,0))</f>
        <v>4</v>
      </c>
    </row>
    <row r="7" spans="1:40" ht="13.5" thickBot="1">
      <c r="A7" s="642" t="str">
        <f>A5</f>
        <v>Alan Rogers</v>
      </c>
      <c r="B7" s="643" t="str">
        <f t="shared" si="1"/>
        <v>Grimsby</v>
      </c>
      <c r="C7" s="644">
        <f>IF(J7="","",INDEX(Odds!C:C,MATCH(J7,Odds!G:G,0)))</f>
        <v>7</v>
      </c>
      <c r="D7" s="645">
        <f t="shared" si="2"/>
        <v>2.15</v>
      </c>
      <c r="E7" s="639" t="str">
        <f t="shared" si="3"/>
        <v>x</v>
      </c>
      <c r="F7" s="640"/>
      <c r="G7" s="641"/>
      <c r="H7" s="360"/>
      <c r="I7" s="360"/>
      <c r="J7" s="420" t="s">
        <v>626</v>
      </c>
      <c r="K7" s="657" t="str">
        <f>INDEX(Odds!H:H,MATCH(J7,Odds!G:G,0))</f>
        <v>23/20</v>
      </c>
      <c r="L7" s="658">
        <f>INDEX(Odds!I:I,MATCH(J7,Odds!G:G,0))</f>
        <v>2.15</v>
      </c>
      <c r="M7" s="653">
        <f>INDEX(Odds!J:J,MATCH(J7,Odds!G:G,0))</f>
        <v>0</v>
      </c>
      <c r="N7" s="659">
        <f t="shared" si="4"/>
        <v>0</v>
      </c>
      <c r="O7" s="526"/>
      <c r="P7" s="522" t="str">
        <f>IF(Match!B7="","",Match!V7)</f>
        <v xml:space="preserve">Fulham 1-0 Leeds </v>
      </c>
      <c r="Q7" s="88"/>
      <c r="R7" s="35" t="str">
        <f>IF(Odds!G7="","",Odds!G7)</f>
        <v>Fulham</v>
      </c>
      <c r="S7" s="36" t="str">
        <f>INDEX(Odds!H:H,MATCH(R7,Odds!G:G,0))</f>
        <v>10/11</v>
      </c>
      <c r="T7" s="40">
        <f t="shared" si="0"/>
        <v>1</v>
      </c>
      <c r="U7" s="20" t="str">
        <f>INDEX(Match!Q:Q,MATCH(P7,Match!V:V,0))</f>
        <v>Fulham</v>
      </c>
      <c r="V7" s="20">
        <f>INDEX(Match!G:G,MATCH(P7,Match!V:V,0))</f>
        <v>1</v>
      </c>
      <c r="W7" s="20" t="str">
        <f>INDEX(Match!R:R,MATCH(P7,Match!V:V,0))</f>
        <v>Leeds</v>
      </c>
      <c r="X7" s="20">
        <f>INDEX(Match!H:H,MATCH(P7,Match!V:V,0))</f>
        <v>0</v>
      </c>
      <c r="Y7" s="8">
        <f>INDEX(Odds!K:K,MATCH(J7,Odds!G:G,0))</f>
        <v>1</v>
      </c>
      <c r="AB7" s="529" t="str">
        <f>IF(O7="","",INDEX(Odds!H:H,MATCH(O7,Odds!G:G,0)))</f>
        <v/>
      </c>
      <c r="AC7" s="529" t="str">
        <f>IF(INDEX(Table!Q:Q,MATCH(A7,Table!F:F,0))="N","N","")</f>
        <v/>
      </c>
      <c r="AD7" s="69" t="s">
        <v>350</v>
      </c>
      <c r="AE7" s="72">
        <f>INDEX(Picks!F:F,MATCH(AD7,Picks!A:A,0))</f>
        <v>7.120000000000001</v>
      </c>
      <c r="AF7" s="416">
        <f>INDEX(Weekly!I:I,MATCH(AD7,Weekly!E:E,0))</f>
        <v>2</v>
      </c>
      <c r="AG7" s="69">
        <f>IF(AE7=-10,"",_xlfn.RANK.EQ(AE7,TopScores,0))</f>
        <v>6</v>
      </c>
      <c r="AI7" s="71" t="s">
        <v>290</v>
      </c>
      <c r="AJ7" s="72">
        <f>INDEX(Picks!G:G,MATCH(AI7,Picks!A:A,0))</f>
        <v>72.934000000000012</v>
      </c>
      <c r="AK7" s="416">
        <f>INDEX(Weekly!I:I,MATCH(AI7,Weekly!E:E,0))</f>
        <v>2</v>
      </c>
      <c r="AL7" s="69">
        <f>IF(AJ7="","",_xlfn.RANK.EQ(AJ7,TopMaxScores,0))</f>
        <v>5</v>
      </c>
    </row>
    <row r="8" spans="1:40" ht="13.9" thickTop="1" thickBot="1">
      <c r="A8" s="629" t="str">
        <f>Results!B8</f>
        <v>Alan White</v>
      </c>
      <c r="B8" s="630" t="str">
        <f t="shared" si="1"/>
        <v>West Brom</v>
      </c>
      <c r="C8" s="631">
        <f>IF(J8="","",INDEX(Odds!C:C,MATCH(J8,Odds!G:G,0)))</f>
        <v>7</v>
      </c>
      <c r="D8" s="632">
        <f t="shared" si="2"/>
        <v>1.8</v>
      </c>
      <c r="E8" s="633" t="str">
        <f t="shared" si="3"/>
        <v>x</v>
      </c>
      <c r="F8" s="634">
        <f>IF(J8="",-10,INDEX(Results!T:T,MATCH(A8,Results!V:V,0)))</f>
        <v>-0.40000000000000036</v>
      </c>
      <c r="G8" s="635">
        <f>IF(J8="","",INDEX(Results!AI:AI,MATCH(A8,Results!V:V,0)))</f>
        <v>13.280000000000001</v>
      </c>
      <c r="H8" s="360" t="str">
        <f>IF(INDEX(Table!Q:Q,MATCH(A8,Table!F:F,0))="N","N","Y")</f>
        <v>Y</v>
      </c>
      <c r="I8" s="359">
        <f>INDEX(Picks!AG:AG,MATCH(A8,Picks!AD:AD,0))</f>
        <v>17</v>
      </c>
      <c r="J8" s="419" t="s">
        <v>605</v>
      </c>
      <c r="K8" s="651" t="str">
        <f>INDEX(Odds!H:H,MATCH(J8,Odds!G:G,0))</f>
        <v>4/5</v>
      </c>
      <c r="L8" s="652">
        <f>INDEX(Odds!I:I,MATCH(J8,Odds!G:G,0))</f>
        <v>1.8</v>
      </c>
      <c r="M8" s="660">
        <f>INDEX(Odds!J:J,MATCH(J8,Odds!G:G,0))</f>
        <v>0</v>
      </c>
      <c r="N8" s="654">
        <f t="shared" si="4"/>
        <v>0</v>
      </c>
      <c r="O8" s="525"/>
      <c r="P8" s="522" t="str">
        <f>IF(Match!B8="","",Match!V8)</f>
        <v xml:space="preserve">Newcastle 1-0 Wolves </v>
      </c>
      <c r="Q8" s="88"/>
      <c r="R8" s="35" t="str">
        <f>IF(Odds!G8="","",Odds!G8)</f>
        <v>Newcastle</v>
      </c>
      <c r="S8" s="36" t="str">
        <f>INDEX(Odds!H:H,MATCH(R8,Odds!G:G,0))</f>
        <v>4/9</v>
      </c>
      <c r="T8" s="40">
        <f t="shared" si="0"/>
        <v>1</v>
      </c>
      <c r="U8" s="20" t="str">
        <f>INDEX(Match!Q:Q,MATCH(P8,Match!V:V,0))</f>
        <v>Newcastle</v>
      </c>
      <c r="V8" s="20">
        <f>INDEX(Match!G:G,MATCH(P8,Match!V:V,0))</f>
        <v>1</v>
      </c>
      <c r="W8" s="20" t="str">
        <f>INDEX(Match!R:R,MATCH(P8,Match!V:V,0))</f>
        <v>Wolves</v>
      </c>
      <c r="X8" s="20">
        <f>INDEX(Match!H:H,MATCH(P8,Match!V:V,0))</f>
        <v>0</v>
      </c>
      <c r="Y8" s="8">
        <f>INDEX(Odds!K:K,MATCH(J8,Odds!G:G,0))</f>
        <v>1</v>
      </c>
      <c r="AB8" s="528" t="str">
        <f>IF(O8="","",INDEX(Odds!H:H,MATCH(O8,Odds!G:G,0)))</f>
        <v/>
      </c>
      <c r="AC8" s="528" t="str">
        <f>IF(INDEX(Table!Q:Q,MATCH(A8,Table!F:F,0))="N","N","")</f>
        <v/>
      </c>
      <c r="AD8" s="69" t="s">
        <v>293</v>
      </c>
      <c r="AE8" s="72">
        <f>INDEX(Picks!F:F,MATCH(AD8,Picks!A:A,0))</f>
        <v>7.0500000000000007</v>
      </c>
      <c r="AF8" s="416">
        <f>INDEX(Weekly!I:I,MATCH(AD8,Weekly!E:E,0))</f>
        <v>2</v>
      </c>
      <c r="AG8" s="69">
        <f>IF(AE8=-10,"",_xlfn.RANK.EQ(AE8,TopScores,0))</f>
        <v>7</v>
      </c>
      <c r="AI8" s="69" t="s">
        <v>300</v>
      </c>
      <c r="AJ8" s="72">
        <f>INDEX(Picks!G:G,MATCH(AI8,Picks!A:A,0))</f>
        <v>67.599999999999994</v>
      </c>
      <c r="AK8" s="416">
        <f>INDEX(Weekly!I:I,MATCH(AI8,Weekly!E:E,0))</f>
        <v>1</v>
      </c>
      <c r="AL8" s="69">
        <f>IF(AJ8="","",_xlfn.RANK.EQ(AJ8,TopMaxScores,0))</f>
        <v>6</v>
      </c>
    </row>
    <row r="9" spans="1:40" ht="13.5" customHeight="1">
      <c r="A9" s="636" t="str">
        <f>A8</f>
        <v>Alan White</v>
      </c>
      <c r="B9" s="637" t="str">
        <f t="shared" si="1"/>
        <v>Barnsley</v>
      </c>
      <c r="C9" s="631">
        <f>IF(J9="","",INDEX(Odds!C:C,MATCH(J9,Odds!G:G,0)))</f>
        <v>7</v>
      </c>
      <c r="D9" s="638">
        <f t="shared" si="2"/>
        <v>1.85</v>
      </c>
      <c r="E9" s="639" t="str">
        <f t="shared" si="3"/>
        <v>√</v>
      </c>
      <c r="F9" s="640"/>
      <c r="G9" s="641"/>
      <c r="H9" s="360">
        <f>IF(G8="",0,1)</f>
        <v>1</v>
      </c>
      <c r="I9" s="360"/>
      <c r="J9" s="419" t="s">
        <v>609</v>
      </c>
      <c r="K9" s="655" t="str">
        <f>INDEX(Odds!H:H,MATCH(J9,Odds!G:G,0))</f>
        <v>17/20</v>
      </c>
      <c r="L9" s="656">
        <f>INDEX(Odds!I:I,MATCH(J9,Odds!G:G,0))</f>
        <v>1.85</v>
      </c>
      <c r="M9" s="653">
        <f>INDEX(Odds!J:J,MATCH(J9,Odds!G:G,0))</f>
        <v>1</v>
      </c>
      <c r="N9" s="654">
        <f t="shared" si="4"/>
        <v>1.85</v>
      </c>
      <c r="O9" s="525"/>
      <c r="P9" s="522" t="str">
        <f>IF(Match!B9="","",Match!V9)</f>
        <v xml:space="preserve">Palace 0-0 Sunderland </v>
      </c>
      <c r="Q9" s="88"/>
      <c r="R9" s="35" t="str">
        <f>IF(Odds!G9="","",Odds!G9)</f>
        <v>Palace</v>
      </c>
      <c r="S9" s="36" t="str">
        <f>INDEX(Odds!H:H,MATCH(R9,Odds!G:G,0))</f>
        <v>8/13</v>
      </c>
      <c r="T9" s="40">
        <f t="shared" si="0"/>
        <v>0</v>
      </c>
      <c r="U9" s="20" t="str">
        <f>INDEX(Match!Q:Q,MATCH(P9,Match!V:V,0))</f>
        <v>Palace</v>
      </c>
      <c r="V9" s="20">
        <f>INDEX(Match!G:G,MATCH(P9,Match!V:V,0))</f>
        <v>0</v>
      </c>
      <c r="W9" s="20" t="str">
        <f>INDEX(Match!R:R,MATCH(P9,Match!V:V,0))</f>
        <v>Sunderland</v>
      </c>
      <c r="X9" s="20">
        <f>INDEX(Match!H:H,MATCH(P9,Match!V:V,0))</f>
        <v>0</v>
      </c>
      <c r="Y9" s="8">
        <f>INDEX(Odds!K:K,MATCH(J9,Odds!G:G,0))</f>
        <v>1</v>
      </c>
      <c r="AB9" s="528" t="str">
        <f>IF(O9="","",INDEX(Odds!H:H,MATCH(O9,Odds!G:G,0)))</f>
        <v/>
      </c>
      <c r="AC9" s="528" t="str">
        <f>IF(INDEX(Table!Q:Q,MATCH(A9,Table!F:F,0))="N","N","")</f>
        <v/>
      </c>
      <c r="AD9" s="69" t="s">
        <v>291</v>
      </c>
      <c r="AE9" s="72">
        <f>INDEX(Picks!F:F,MATCH(AD9,Picks!A:A,0))</f>
        <v>5.6</v>
      </c>
      <c r="AF9" s="416">
        <f>INDEX(Weekly!I:I,MATCH(AD9,Weekly!E:E,0))</f>
        <v>2</v>
      </c>
      <c r="AG9" s="69">
        <f>IF(AE9=-10,"",_xlfn.RANK.EQ(AE9,TopScores,0))</f>
        <v>8</v>
      </c>
      <c r="AI9" s="71" t="s">
        <v>485</v>
      </c>
      <c r="AJ9" s="72">
        <f>INDEX(Picks!G:G,MATCH(AI9,Picks!A:A,0))</f>
        <v>64.16</v>
      </c>
      <c r="AK9" s="416">
        <f>INDEX(Weekly!I:I,MATCH(AI9,Weekly!E:E,0))</f>
        <v>0</v>
      </c>
      <c r="AL9" s="69">
        <f>IF(AJ9="","",_xlfn.RANK.EQ(AJ9,TopMaxScores,0))</f>
        <v>7</v>
      </c>
    </row>
    <row r="10" spans="1:40" ht="13.5" thickBot="1">
      <c r="A10" s="642" t="str">
        <f>A8</f>
        <v>Alan White</v>
      </c>
      <c r="B10" s="643" t="str">
        <f t="shared" si="1"/>
        <v>Swindon</v>
      </c>
      <c r="C10" s="644">
        <f>IF(J10="","",INDEX(Odds!C:C,MATCH(J10,Odds!G:G,0)))</f>
        <v>7</v>
      </c>
      <c r="D10" s="645">
        <f t="shared" si="2"/>
        <v>1.6666666666666665</v>
      </c>
      <c r="E10" s="639" t="str">
        <f t="shared" si="3"/>
        <v>√</v>
      </c>
      <c r="F10" s="640"/>
      <c r="G10" s="641"/>
      <c r="H10" s="360"/>
      <c r="I10" s="360"/>
      <c r="J10" s="420" t="s">
        <v>560</v>
      </c>
      <c r="K10" s="657" t="str">
        <f>INDEX(Odds!H:H,MATCH(J10,Odds!G:G,0))</f>
        <v>4/6</v>
      </c>
      <c r="L10" s="658">
        <f>INDEX(Odds!I:I,MATCH(J10,Odds!G:G,0))</f>
        <v>1.6666666666666665</v>
      </c>
      <c r="M10" s="653">
        <f>INDEX(Odds!J:J,MATCH(J10,Odds!G:G,0))</f>
        <v>1</v>
      </c>
      <c r="N10" s="659">
        <f t="shared" si="4"/>
        <v>1.6666666666666665</v>
      </c>
      <c r="O10" s="526"/>
      <c r="P10" s="522" t="str">
        <f>IF(Match!B10="","",Match!V10)</f>
        <v xml:space="preserve">West Ham 0-3 Spurs </v>
      </c>
      <c r="Q10" s="88"/>
      <c r="R10" s="35" t="str">
        <f>IF(Odds!G10="","",Odds!G10)</f>
        <v>West Ham</v>
      </c>
      <c r="S10" s="36" t="str">
        <f>INDEX(Odds!H:H,MATCH(R10,Odds!G:G,0))</f>
        <v>23/10</v>
      </c>
      <c r="T10" s="40">
        <f t="shared" si="0"/>
        <v>0</v>
      </c>
      <c r="U10" s="20" t="str">
        <f>INDEX(Match!Q:Q,MATCH(P10,Match!V:V,0))</f>
        <v>West Ham</v>
      </c>
      <c r="V10" s="20">
        <f>INDEX(Match!G:G,MATCH(P10,Match!V:V,0))</f>
        <v>0</v>
      </c>
      <c r="W10" s="20" t="str">
        <f>INDEX(Match!R:R,MATCH(P10,Match!V:V,0))</f>
        <v>Spurs</v>
      </c>
      <c r="X10" s="20">
        <f>INDEX(Match!H:H,MATCH(P10,Match!V:V,0))</f>
        <v>3</v>
      </c>
      <c r="Y10" s="8">
        <f>INDEX(Odds!K:K,MATCH(J10,Odds!G:G,0))</f>
        <v>1</v>
      </c>
      <c r="AB10" s="529" t="str">
        <f>IF(O10="","",INDEX(Odds!H:H,MATCH(O10,Odds!G:G,0)))</f>
        <v/>
      </c>
      <c r="AC10" s="529" t="str">
        <f>IF(INDEX(Table!Q:Q,MATCH(A10,Table!F:F,0))="N","N","")</f>
        <v/>
      </c>
      <c r="AD10" s="69" t="s">
        <v>348</v>
      </c>
      <c r="AE10" s="72">
        <f>INDEX(Picks!F:F,MATCH(AD10,Picks!A:A,0))</f>
        <v>4.2181818181818187</v>
      </c>
      <c r="AF10" s="416">
        <f>INDEX(Weekly!I:I,MATCH(AD10,Weekly!E:E,0))</f>
        <v>2</v>
      </c>
      <c r="AG10" s="69">
        <f>IF(AE10=-10,"",_xlfn.RANK.EQ(AE10,TopScores,0))</f>
        <v>9</v>
      </c>
      <c r="AI10" s="71" t="s">
        <v>348</v>
      </c>
      <c r="AJ10" s="72">
        <f>INDEX(Picks!G:G,MATCH(AI10,Picks!A:A,0))</f>
        <v>60.421818181818182</v>
      </c>
      <c r="AK10" s="416">
        <f>INDEX(Weekly!I:I,MATCH(AI10,Weekly!E:E,0))</f>
        <v>2</v>
      </c>
      <c r="AL10" s="69">
        <f>IF(AJ10="","",_xlfn.RANK.EQ(AJ10,TopMaxScores,0))</f>
        <v>8</v>
      </c>
    </row>
    <row r="11" spans="1:40" ht="13.9" thickTop="1" thickBot="1">
      <c r="A11" s="629" t="str">
        <f>Results!B11</f>
        <v>Alex Griffin</v>
      </c>
      <c r="B11" s="630" t="str">
        <f t="shared" si="1"/>
        <v>Sunderland</v>
      </c>
      <c r="C11" s="631">
        <f>IF(J11="","",INDEX(Odds!C:C,MATCH(J11,Odds!G:G,0)))</f>
        <v>7</v>
      </c>
      <c r="D11" s="632">
        <f t="shared" si="2"/>
        <v>5</v>
      </c>
      <c r="E11" s="633" t="str">
        <f t="shared" si="3"/>
        <v>x</v>
      </c>
      <c r="F11" s="634">
        <f>IF(J11="",-10,INDEX(Results!T:T,MATCH(A11,Results!V:V,0)))</f>
        <v>-7</v>
      </c>
      <c r="G11" s="635">
        <f>IF(J11="","",INDEX(Results!AI:AI,MATCH(A11,Results!V:V,0)))</f>
        <v>147.25</v>
      </c>
      <c r="H11" s="360" t="str">
        <f>IF(INDEX(Table!Q:Q,MATCH(A11,Table!F:F,0))="N","N","Y")</f>
        <v>Y</v>
      </c>
      <c r="I11" s="359">
        <f>INDEX(Picks!AG:AG,MATCH(A11,Picks!AD:AD,0))</f>
        <v>36</v>
      </c>
      <c r="J11" s="419" t="s">
        <v>167</v>
      </c>
      <c r="K11" s="651" t="str">
        <f>INDEX(Odds!H:H,MATCH(J11,Odds!G:G,0))</f>
        <v>4/1</v>
      </c>
      <c r="L11" s="652">
        <f>INDEX(Odds!I:I,MATCH(J11,Odds!G:G,0))</f>
        <v>5</v>
      </c>
      <c r="M11" s="660">
        <f>INDEX(Odds!J:J,MATCH(J11,Odds!G:G,0))</f>
        <v>0</v>
      </c>
      <c r="N11" s="654">
        <f t="shared" si="4"/>
        <v>0</v>
      </c>
      <c r="O11" s="525"/>
      <c r="P11" s="522" t="str">
        <f>IF(Match!B11="","",Match!V11)</f>
        <v xml:space="preserve">Charlton 1-1 Millwall </v>
      </c>
      <c r="Q11" s="88"/>
      <c r="R11" s="35" t="str">
        <f>IF(Odds!G11="","",Odds!G11)</f>
        <v>Charlton</v>
      </c>
      <c r="S11" s="36" t="str">
        <f>INDEX(Odds!H:H,MATCH(R11,Odds!G:G,0))</f>
        <v>13/10</v>
      </c>
      <c r="T11" s="40">
        <f t="shared" si="0"/>
        <v>0</v>
      </c>
      <c r="U11" s="20" t="str">
        <f>INDEX(Match!Q:Q,MATCH(P11,Match!V:V,0))</f>
        <v>Charlton</v>
      </c>
      <c r="V11" s="20">
        <f>INDEX(Match!G:G,MATCH(P11,Match!V:V,0))</f>
        <v>1</v>
      </c>
      <c r="W11" s="20" t="str">
        <f>INDEX(Match!R:R,MATCH(P11,Match!V:V,0))</f>
        <v>Millwall</v>
      </c>
      <c r="X11" s="20">
        <f>INDEX(Match!H:H,MATCH(P11,Match!V:V,0))</f>
        <v>1</v>
      </c>
      <c r="Y11" s="8">
        <f>INDEX(Odds!K:K,MATCH(J11,Odds!G:G,0))</f>
        <v>1</v>
      </c>
      <c r="AB11" s="528" t="str">
        <f>IF(O11="","",INDEX(Odds!H:H,MATCH(O11,Odds!G:G,0)))</f>
        <v/>
      </c>
      <c r="AC11" s="528" t="str">
        <f>IF(INDEX(Table!Q:Q,MATCH(A11,Table!F:F,0))="N","N","")</f>
        <v/>
      </c>
      <c r="AD11" s="69" t="s">
        <v>488</v>
      </c>
      <c r="AE11" s="72">
        <f>INDEX(Picks!F:F,MATCH(AD11,Picks!A:A,0))</f>
        <v>3.4000000000000004</v>
      </c>
      <c r="AF11" s="416">
        <f>INDEX(Weekly!I:I,MATCH(AD11,Weekly!E:E,0))</f>
        <v>2</v>
      </c>
      <c r="AG11" s="69">
        <f>IF(AE11=-10,"",_xlfn.RANK.EQ(AE11,TopScores,0))</f>
        <v>10</v>
      </c>
      <c r="AI11" s="69" t="s">
        <v>350</v>
      </c>
      <c r="AJ11" s="72">
        <f>INDEX(Picks!G:G,MATCH(AI11,Picks!A:A,0))</f>
        <v>60.040000000000006</v>
      </c>
      <c r="AK11" s="416">
        <f>INDEX(Weekly!I:I,MATCH(AI11,Weekly!E:E,0))</f>
        <v>2</v>
      </c>
      <c r="AL11" s="69">
        <f>IF(AJ11="","",_xlfn.RANK.EQ(AJ11,TopMaxScores,0))</f>
        <v>9</v>
      </c>
    </row>
    <row r="12" spans="1:40">
      <c r="A12" s="636" t="str">
        <f>A11</f>
        <v>Alex Griffin</v>
      </c>
      <c r="B12" s="637" t="str">
        <f t="shared" si="1"/>
        <v>Wolves</v>
      </c>
      <c r="C12" s="631">
        <f>IF(J12="","",INDEX(Odds!C:C,MATCH(J12,Odds!G:G,0)))</f>
        <v>7</v>
      </c>
      <c r="D12" s="638">
        <f t="shared" si="2"/>
        <v>6.5</v>
      </c>
      <c r="E12" s="639" t="str">
        <f t="shared" si="3"/>
        <v>x</v>
      </c>
      <c r="F12" s="640"/>
      <c r="G12" s="641"/>
      <c r="H12" s="360">
        <f>IF(G11="",0,1)</f>
        <v>1</v>
      </c>
      <c r="I12" s="360"/>
      <c r="J12" s="419" t="s">
        <v>589</v>
      </c>
      <c r="K12" s="655" t="str">
        <f>INDEX(Odds!H:H,MATCH(J12,Odds!G:G,0))</f>
        <v>11/2</v>
      </c>
      <c r="L12" s="656">
        <f>INDEX(Odds!I:I,MATCH(J12,Odds!G:G,0))</f>
        <v>6.5</v>
      </c>
      <c r="M12" s="653">
        <f>INDEX(Odds!J:J,MATCH(J12,Odds!G:G,0))</f>
        <v>0</v>
      </c>
      <c r="N12" s="654">
        <f t="shared" si="4"/>
        <v>0</v>
      </c>
      <c r="O12" s="525"/>
      <c r="P12" s="522" t="str">
        <f>IF(Match!B12="","",Match!V12)</f>
        <v xml:space="preserve">Coventry 1-1 Norwich </v>
      </c>
      <c r="Q12" s="88"/>
      <c r="R12" s="35" t="str">
        <f>IF(Odds!G12="","",Odds!G12)</f>
        <v>Coventry</v>
      </c>
      <c r="S12" s="36" t="str">
        <f>INDEX(Odds!H:H,MATCH(R12,Odds!G:G,0))</f>
        <v>8/11</v>
      </c>
      <c r="T12" s="40">
        <f t="shared" si="0"/>
        <v>0</v>
      </c>
      <c r="U12" s="20" t="str">
        <f>INDEX(Match!Q:Q,MATCH(P12,Match!V:V,0))</f>
        <v>Coventry</v>
      </c>
      <c r="V12" s="20">
        <f>INDEX(Match!G:G,MATCH(P12,Match!V:V,0))</f>
        <v>1</v>
      </c>
      <c r="W12" s="20" t="str">
        <f>INDEX(Match!R:R,MATCH(P12,Match!V:V,0))</f>
        <v>Norwich</v>
      </c>
      <c r="X12" s="20">
        <f>INDEX(Match!H:H,MATCH(P12,Match!V:V,0))</f>
        <v>1</v>
      </c>
      <c r="Y12" s="8">
        <f>INDEX(Odds!K:K,MATCH(J12,Odds!G:G,0))</f>
        <v>1</v>
      </c>
      <c r="AB12" s="528" t="str">
        <f>IF(O12="","",INDEX(Odds!H:H,MATCH(O12,Odds!G:G,0)))</f>
        <v/>
      </c>
      <c r="AC12" s="528" t="str">
        <f>IF(INDEX(Table!Q:Q,MATCH(A12,Table!F:F,0))="N","N","")</f>
        <v/>
      </c>
      <c r="AD12" s="69" t="s">
        <v>271</v>
      </c>
      <c r="AE12" s="72">
        <f>INDEX(Picks!F:F,MATCH(AD12,Picks!A:A,0))</f>
        <v>2.7100000000000009</v>
      </c>
      <c r="AF12" s="416">
        <f>INDEX(Weekly!I:I,MATCH(AD12,Weekly!E:E,0))</f>
        <v>2</v>
      </c>
      <c r="AG12" s="69">
        <f>IF(AE12=-10,"",_xlfn.RANK.EQ(AE12,TopScores,0))</f>
        <v>11</v>
      </c>
      <c r="AI12" s="71" t="s">
        <v>487</v>
      </c>
      <c r="AJ12" s="72">
        <f>INDEX(Picks!G:G,MATCH(AI12,Picks!A:A,0))</f>
        <v>57.8</v>
      </c>
      <c r="AK12" s="416">
        <f>INDEX(Weekly!I:I,MATCH(AI12,Weekly!E:E,0))</f>
        <v>2</v>
      </c>
      <c r="AL12" s="69">
        <f>IF(AJ12="","",_xlfn.RANK.EQ(AJ12,TopMaxScores,0))</f>
        <v>10</v>
      </c>
    </row>
    <row r="13" spans="1:40" ht="13.5" thickBot="1">
      <c r="A13" s="642" t="str">
        <f>A11</f>
        <v>Alex Griffin</v>
      </c>
      <c r="B13" s="643" t="str">
        <f>IF(J13="","",J13)</f>
        <v>Everton</v>
      </c>
      <c r="C13" s="644">
        <f>IF(J13="","",INDEX(Odds!C:C,MATCH(J13,Odds!G:G,0)))</f>
        <v>7</v>
      </c>
      <c r="D13" s="645">
        <f t="shared" si="2"/>
        <v>2.4500000000000002</v>
      </c>
      <c r="E13" s="639" t="str">
        <f t="shared" si="3"/>
        <v>x</v>
      </c>
      <c r="F13" s="640"/>
      <c r="G13" s="641"/>
      <c r="H13" s="360"/>
      <c r="I13" s="360"/>
      <c r="J13" s="420" t="s">
        <v>585</v>
      </c>
      <c r="K13" s="657" t="str">
        <f>INDEX(Odds!H:H,MATCH(J13,Odds!G:G,0))</f>
        <v>29/20</v>
      </c>
      <c r="L13" s="658">
        <f>INDEX(Odds!I:I,MATCH(J13,Odds!G:G,0))</f>
        <v>2.4500000000000002</v>
      </c>
      <c r="M13" s="653">
        <f>INDEX(Odds!J:J,MATCH(J13,Odds!G:G,0))</f>
        <v>0</v>
      </c>
      <c r="N13" s="659">
        <f t="shared" si="4"/>
        <v>0</v>
      </c>
      <c r="O13" s="526"/>
      <c r="P13" s="522" t="str">
        <f>IF(Match!B13="","",Match!V13)</f>
        <v xml:space="preserve">Oxford 2-2 Leicester </v>
      </c>
      <c r="Q13" s="88"/>
      <c r="R13" s="35" t="str">
        <f>IF(Odds!G13="","",Odds!G13)</f>
        <v>Oxford</v>
      </c>
      <c r="S13" s="36" t="str">
        <f>INDEX(Odds!H:H,MATCH(R13,Odds!G:G,0))</f>
        <v>29/10</v>
      </c>
      <c r="T13" s="40">
        <f t="shared" si="0"/>
        <v>0</v>
      </c>
      <c r="U13" s="20" t="str">
        <f>INDEX(Match!Q:Q,MATCH(P13,Match!V:V,0))</f>
        <v>Oxford</v>
      </c>
      <c r="V13" s="20">
        <f>INDEX(Match!G:G,MATCH(P13,Match!V:V,0))</f>
        <v>2</v>
      </c>
      <c r="W13" s="20" t="str">
        <f>INDEX(Match!R:R,MATCH(P13,Match!V:V,0))</f>
        <v>Leicester</v>
      </c>
      <c r="X13" s="20">
        <f>INDEX(Match!H:H,MATCH(P13,Match!V:V,0))</f>
        <v>2</v>
      </c>
      <c r="Y13" s="8">
        <f>INDEX(Odds!K:K,MATCH(J13,Odds!G:G,0))</f>
        <v>1</v>
      </c>
      <c r="AB13" s="529" t="str">
        <f>IF(O13="","",INDEX(Odds!H:H,MATCH(O13,Odds!G:G,0)))</f>
        <v/>
      </c>
      <c r="AC13" s="529" t="str">
        <f>IF(INDEX(Table!Q:Q,MATCH(A13,Table!F:F,0))="N","N","")</f>
        <v/>
      </c>
      <c r="AD13" s="69" t="s">
        <v>279</v>
      </c>
      <c r="AE13" s="72">
        <f>INDEX(Picks!F:F,MATCH(AD13,Picks!A:A,0))</f>
        <v>2.5399999999999991</v>
      </c>
      <c r="AF13" s="416">
        <f>INDEX(Weekly!I:I,MATCH(AD13,Weekly!E:E,0))</f>
        <v>2</v>
      </c>
      <c r="AG13" s="69">
        <f>IF(AE13=-10,"",_xlfn.RANK.EQ(AE13,TopScores,0))</f>
        <v>12</v>
      </c>
      <c r="AI13" s="71" t="s">
        <v>275</v>
      </c>
      <c r="AJ13" s="72">
        <f>INDEX(Picks!G:G,MATCH(AI13,Picks!A:A,0))</f>
        <v>50.88</v>
      </c>
      <c r="AK13" s="416">
        <f>INDEX(Weekly!I:I,MATCH(AI13,Weekly!E:E,0))</f>
        <v>0</v>
      </c>
      <c r="AL13" s="69">
        <f>IF(AJ13="","",_xlfn.RANK.EQ(AJ13,TopMaxScores,0))</f>
        <v>11</v>
      </c>
    </row>
    <row r="14" spans="1:40" ht="13.9" thickTop="1" thickBot="1">
      <c r="A14" s="629" t="str">
        <f>Results!B14</f>
        <v>Alick Rocca</v>
      </c>
      <c r="B14" s="630" t="str">
        <f t="shared" si="1"/>
        <v>Bournemouth draw</v>
      </c>
      <c r="C14" s="631">
        <f>IF(J14="","",INDEX(Odds!C:C,MATCH(J14,Odds!G:G,0)))</f>
        <v>7</v>
      </c>
      <c r="D14" s="632">
        <f t="shared" si="2"/>
        <v>3.5</v>
      </c>
      <c r="E14" s="633" t="str">
        <f t="shared" si="3"/>
        <v>x</v>
      </c>
      <c r="F14" s="634">
        <f>IF(J14="",-10,INDEX(Results!T:T,MATCH(A14,Results!V:V,0)))</f>
        <v>-3.8</v>
      </c>
      <c r="G14" s="635">
        <f>IF(J14="","",INDEX(Results!AI:AI,MATCH(A14,Results!V:V,0)))</f>
        <v>67.599999999999994</v>
      </c>
      <c r="H14" s="360" t="str">
        <f>IF(INDEX(Table!Q:Q,MATCH(A14,Table!F:F,0))="N","N","Y")</f>
        <v>Y</v>
      </c>
      <c r="I14" s="359">
        <f>INDEX(Picks!AG:AG,MATCH(A14,Picks!AD:AD,0))</f>
        <v>24</v>
      </c>
      <c r="J14" s="419" t="s">
        <v>637</v>
      </c>
      <c r="K14" s="651" t="str">
        <f>INDEX(Odds!H:H,MATCH(J14,Odds!G:G,0))</f>
        <v>5/2</v>
      </c>
      <c r="L14" s="652">
        <f>INDEX(Odds!I:I,MATCH(J14,Odds!G:G,0))</f>
        <v>3.5</v>
      </c>
      <c r="M14" s="660">
        <f>INDEX(Odds!J:J,MATCH(J14,Odds!G:G,0))</f>
        <v>0</v>
      </c>
      <c r="N14" s="654">
        <f t="shared" si="4"/>
        <v>0</v>
      </c>
      <c r="O14" s="525"/>
      <c r="P14" s="522" t="str">
        <f>IF(Match!B14="","",Match!V14)</f>
        <v xml:space="preserve">Preston 2-2 Middlesbro </v>
      </c>
      <c r="Q14" s="88"/>
      <c r="R14" s="35" t="str">
        <f>IF(Odds!G14="","",Odds!G14)</f>
        <v>Preston</v>
      </c>
      <c r="S14" s="36" t="str">
        <f>INDEX(Odds!H:H,MATCH(R14,Odds!G:G,0))</f>
        <v>9/5</v>
      </c>
      <c r="T14" s="40">
        <f t="shared" si="0"/>
        <v>0</v>
      </c>
      <c r="U14" s="20" t="str">
        <f>INDEX(Match!Q:Q,MATCH(P14,Match!V:V,0))</f>
        <v>Preston</v>
      </c>
      <c r="V14" s="20">
        <f>INDEX(Match!G:G,MATCH(P14,Match!V:V,0))</f>
        <v>2</v>
      </c>
      <c r="W14" s="20" t="str">
        <f>INDEX(Match!R:R,MATCH(P14,Match!V:V,0))</f>
        <v>Middlesbro</v>
      </c>
      <c r="X14" s="20">
        <f>INDEX(Match!H:H,MATCH(P14,Match!V:V,0))</f>
        <v>2</v>
      </c>
      <c r="Y14" s="8">
        <f>INDEX(Odds!K:K,MATCH(J14,Odds!G:G,0))</f>
        <v>1</v>
      </c>
      <c r="AB14" s="528" t="str">
        <f>IF(O14="","",INDEX(Odds!H:H,MATCH(O14,Odds!G:G,0)))</f>
        <v/>
      </c>
      <c r="AC14" s="528" t="str">
        <f>IF(INDEX(Table!Q:Q,MATCH(A14,Table!F:F,0))="N","N","")</f>
        <v/>
      </c>
      <c r="AD14" s="69" t="s">
        <v>292</v>
      </c>
      <c r="AE14" s="72">
        <f>INDEX(Picks!F:F,MATCH(AD14,Picks!A:A,0))</f>
        <v>2.2666666666666675</v>
      </c>
      <c r="AF14" s="416">
        <f>INDEX(Weekly!I:I,MATCH(AD14,Weekly!E:E,0))</f>
        <v>2</v>
      </c>
      <c r="AG14" s="69">
        <f>IF(AE14=-10,"",_xlfn.RANK.EQ(AE14,TopScores,0))</f>
        <v>13</v>
      </c>
      <c r="AI14" s="71" t="s">
        <v>293</v>
      </c>
      <c r="AJ14" s="72">
        <f>INDEX(Picks!G:G,MATCH(AI14,Picks!A:A,0))</f>
        <v>44.674999999999997</v>
      </c>
      <c r="AK14" s="416">
        <f>INDEX(Weekly!I:I,MATCH(AI14,Weekly!E:E,0))</f>
        <v>2</v>
      </c>
      <c r="AL14" s="69">
        <f>IF(AJ14="","",_xlfn.RANK.EQ(AJ14,TopMaxScores,0))</f>
        <v>12</v>
      </c>
    </row>
    <row r="15" spans="1:40">
      <c r="A15" s="636" t="str">
        <f>A14</f>
        <v>Alick Rocca</v>
      </c>
      <c r="B15" s="637" t="str">
        <f t="shared" si="1"/>
        <v>Accrington draw</v>
      </c>
      <c r="C15" s="631">
        <f>IF(J15="","",INDEX(Odds!C:C,MATCH(J15,Odds!G:G,0)))</f>
        <v>7</v>
      </c>
      <c r="D15" s="638">
        <f t="shared" si="2"/>
        <v>3</v>
      </c>
      <c r="E15" s="639" t="str">
        <f t="shared" si="3"/>
        <v>x</v>
      </c>
      <c r="F15" s="640"/>
      <c r="G15" s="641"/>
      <c r="H15" s="360">
        <f>IF(G14="",0,1)</f>
        <v>1</v>
      </c>
      <c r="I15" s="360"/>
      <c r="J15" s="419" t="s">
        <v>646</v>
      </c>
      <c r="K15" s="655" t="str">
        <f>INDEX(Odds!H:H,MATCH(J15,Odds!G:G,0))</f>
        <v>2/1</v>
      </c>
      <c r="L15" s="656">
        <f>INDEX(Odds!I:I,MATCH(J15,Odds!G:G,0))</f>
        <v>3</v>
      </c>
      <c r="M15" s="653">
        <f>INDEX(Odds!J:J,MATCH(J15,Odds!G:G,0))</f>
        <v>0</v>
      </c>
      <c r="N15" s="654">
        <f t="shared" si="4"/>
        <v>0</v>
      </c>
      <c r="O15" s="525"/>
      <c r="P15" s="522" t="str">
        <f>IF(Match!B15="","",Match!V15)</f>
        <v xml:space="preserve">Sheff W 0-3 Bristol C </v>
      </c>
      <c r="Q15" s="88"/>
      <c r="R15" s="35" t="str">
        <f>IF(Odds!G15="","",Odds!G15)</f>
        <v>Sheff W</v>
      </c>
      <c r="S15" s="36" t="str">
        <f>INDEX(Odds!H:H,MATCH(R15,Odds!G:G,0))</f>
        <v>23/10</v>
      </c>
      <c r="T15" s="40">
        <f t="shared" si="0"/>
        <v>0</v>
      </c>
      <c r="U15" s="20" t="str">
        <f>INDEX(Match!Q:Q,MATCH(P15,Match!V:V,0))</f>
        <v>Sheff W</v>
      </c>
      <c r="V15" s="20">
        <f>INDEX(Match!G:G,MATCH(P15,Match!V:V,0))</f>
        <v>0</v>
      </c>
      <c r="W15" s="20" t="str">
        <f>INDEX(Match!R:R,MATCH(P15,Match!V:V,0))</f>
        <v>Bristol C</v>
      </c>
      <c r="X15" s="20">
        <f>INDEX(Match!H:H,MATCH(P15,Match!V:V,0))</f>
        <v>3</v>
      </c>
      <c r="Y15" s="8">
        <f>INDEX(Odds!K:K,MATCH(J15,Odds!G:G,0))</f>
        <v>1</v>
      </c>
      <c r="AB15" s="528" t="str">
        <f>IF(O15="","",INDEX(Odds!H:H,MATCH(O15,Odds!G:G,0)))</f>
        <v/>
      </c>
      <c r="AC15" s="528" t="str">
        <f>IF(INDEX(Table!Q:Q,MATCH(A15,Table!F:F,0))="N","N","")</f>
        <v/>
      </c>
      <c r="AD15" s="69" t="s">
        <v>274</v>
      </c>
      <c r="AE15" s="72">
        <f>INDEX(Picks!F:F,MATCH(AD15,Picks!A:A,0))</f>
        <v>1.163636363636364</v>
      </c>
      <c r="AF15" s="416">
        <f>INDEX(Weekly!I:I,MATCH(AD15,Weekly!E:E,0))</f>
        <v>2</v>
      </c>
      <c r="AG15" s="69">
        <f>IF(AE15=-10,"",_xlfn.RANK.EQ(AE15,TopScores,0))</f>
        <v>14</v>
      </c>
      <c r="AI15" s="69" t="s">
        <v>291</v>
      </c>
      <c r="AJ15" s="72">
        <f>INDEX(Picks!G:G,MATCH(AI15,Picks!A:A,0))</f>
        <v>43</v>
      </c>
      <c r="AK15" s="416">
        <f>INDEX(Weekly!I:I,MATCH(AI15,Weekly!E:E,0))</f>
        <v>2</v>
      </c>
      <c r="AL15" s="69">
        <f>IF(AJ15="","",_xlfn.RANK.EQ(AJ15,TopMaxScores,0))</f>
        <v>13</v>
      </c>
    </row>
    <row r="16" spans="1:40" ht="13.5" thickBot="1">
      <c r="A16" s="642" t="str">
        <f>A14</f>
        <v>Alick Rocca</v>
      </c>
      <c r="B16" s="643" t="str">
        <f t="shared" si="1"/>
        <v>Chesterfield draw</v>
      </c>
      <c r="C16" s="644">
        <f>IF(J16="","",INDEX(Odds!C:C,MATCH(J16,Odds!G:G,0)))</f>
        <v>7</v>
      </c>
      <c r="D16" s="645">
        <f t="shared" si="2"/>
        <v>3.2</v>
      </c>
      <c r="E16" s="639" t="str">
        <f t="shared" si="3"/>
        <v>√</v>
      </c>
      <c r="F16" s="640"/>
      <c r="G16" s="641"/>
      <c r="H16" s="360"/>
      <c r="I16" s="360"/>
      <c r="J16" s="420" t="s">
        <v>647</v>
      </c>
      <c r="K16" s="657" t="str">
        <f>INDEX(Odds!H:H,MATCH(J16,Odds!G:G,0))</f>
        <v>11/5</v>
      </c>
      <c r="L16" s="658">
        <f>INDEX(Odds!I:I,MATCH(J16,Odds!G:G,0))</f>
        <v>3.2</v>
      </c>
      <c r="M16" s="653">
        <f>INDEX(Odds!J:J,MATCH(J16,Odds!G:G,0))</f>
        <v>1</v>
      </c>
      <c r="N16" s="659">
        <f t="shared" si="4"/>
        <v>3.2</v>
      </c>
      <c r="O16" s="526"/>
      <c r="P16" s="522" t="str">
        <f>IF(Match!B16="","",Match!V16)</f>
        <v xml:space="preserve">Stoke 1-0 Birmingham </v>
      </c>
      <c r="Q16" s="88"/>
      <c r="R16" s="35" t="str">
        <f>IF(Odds!G16="","",Odds!G16)</f>
        <v>Stoke</v>
      </c>
      <c r="S16" s="36" t="str">
        <f>INDEX(Odds!H:H,MATCH(R16,Odds!G:G,0))</f>
        <v>2/1</v>
      </c>
      <c r="T16" s="40">
        <f t="shared" si="0"/>
        <v>1</v>
      </c>
      <c r="U16" s="20" t="str">
        <f>INDEX(Match!Q:Q,MATCH(P16,Match!V:V,0))</f>
        <v>Stoke</v>
      </c>
      <c r="V16" s="20">
        <f>INDEX(Match!G:G,MATCH(P16,Match!V:V,0))</f>
        <v>1</v>
      </c>
      <c r="W16" s="20" t="str">
        <f>INDEX(Match!R:R,MATCH(P16,Match!V:V,0))</f>
        <v>Birmingham</v>
      </c>
      <c r="X16" s="20">
        <f>INDEX(Match!H:H,MATCH(P16,Match!V:V,0))</f>
        <v>0</v>
      </c>
      <c r="Y16" s="8">
        <f>INDEX(Odds!K:K,MATCH(J16,Odds!G:G,0))</f>
        <v>1</v>
      </c>
      <c r="AB16" s="529" t="str">
        <f>IF(O16="","",INDEX(Odds!H:H,MATCH(O16,Odds!G:G,0)))</f>
        <v/>
      </c>
      <c r="AC16" s="529" t="str">
        <f>IF(INDEX(Table!Q:Q,MATCH(A16,Table!F:F,0))="N","N","")</f>
        <v/>
      </c>
      <c r="AD16" s="69" t="s">
        <v>486</v>
      </c>
      <c r="AE16" s="72">
        <f>INDEX(Picks!F:F,MATCH(AD16,Picks!A:A,0))</f>
        <v>1.0181818181818194</v>
      </c>
      <c r="AF16" s="416">
        <f>INDEX(Weekly!I:I,MATCH(AD16,Weekly!E:E,0))</f>
        <v>2</v>
      </c>
      <c r="AG16" s="69">
        <f>IF(AE16=-10,"",_xlfn.RANK.EQ(AE16,TopScores,0))</f>
        <v>15</v>
      </c>
      <c r="AI16" s="71" t="s">
        <v>285</v>
      </c>
      <c r="AJ16" s="72">
        <f>INDEX(Picks!G:G,MATCH(AI16,Picks!A:A,0))</f>
        <v>41.875</v>
      </c>
      <c r="AK16" s="416">
        <f>INDEX(Weekly!I:I,MATCH(AI16,Weekly!E:E,0))</f>
        <v>0</v>
      </c>
      <c r="AL16" s="69">
        <f>IF(AJ16="","",_xlfn.RANK.EQ(AJ16,TopMaxScores,0))</f>
        <v>14</v>
      </c>
    </row>
    <row r="17" spans="1:38" ht="13.9" thickTop="1" thickBot="1">
      <c r="A17" s="629" t="str">
        <f>Results!B17</f>
        <v>Andy White</v>
      </c>
      <c r="B17" s="630" t="str">
        <f t="shared" si="1"/>
        <v>Bournemouth</v>
      </c>
      <c r="C17" s="631">
        <f>IF(J17="","",INDEX(Odds!C:C,MATCH(J17,Odds!G:G,0)))</f>
        <v>7</v>
      </c>
      <c r="D17" s="632">
        <f t="shared" si="2"/>
        <v>2.4</v>
      </c>
      <c r="E17" s="633" t="str">
        <f t="shared" si="3"/>
        <v>√</v>
      </c>
      <c r="F17" s="634">
        <f>IF(J17="",-10,INDEX(Results!T:T,MATCH(A17,Results!V:V,0)))</f>
        <v>23.156363636363636</v>
      </c>
      <c r="G17" s="635">
        <f>IF(J17="","",INDEX(Results!AI:AI,MATCH(A17,Results!V:V,0)))</f>
        <v>23.156363636363636</v>
      </c>
      <c r="H17" s="360" t="str">
        <f>IF(INDEX(Table!Q:Q,MATCH(A17,Table!F:F,0))="N","N","Y")</f>
        <v>Y</v>
      </c>
      <c r="I17" s="359">
        <f>INDEX(Picks!AG:AG,MATCH(A17,Picks!AD:AD,0))</f>
        <v>2</v>
      </c>
      <c r="J17" s="419" t="s">
        <v>581</v>
      </c>
      <c r="K17" s="651" t="str">
        <f>INDEX(Odds!H:H,MATCH(J17,Odds!G:G,0))</f>
        <v>7/5</v>
      </c>
      <c r="L17" s="652">
        <f>INDEX(Odds!I:I,MATCH(J17,Odds!G:G,0))</f>
        <v>2.4</v>
      </c>
      <c r="M17" s="660">
        <f>INDEX(Odds!J:J,MATCH(J17,Odds!G:G,0))</f>
        <v>1</v>
      </c>
      <c r="N17" s="654">
        <f t="shared" si="4"/>
        <v>2.4</v>
      </c>
      <c r="O17" s="525"/>
      <c r="P17" s="522" t="str">
        <f>IF(Match!B17="","",Match!V17)</f>
        <v xml:space="preserve">Swansea 2-2 Hull </v>
      </c>
      <c r="Q17" s="88"/>
      <c r="R17" s="35" t="str">
        <f>IF(Odds!G17="","",Odds!G17)</f>
        <v>Swansea</v>
      </c>
      <c r="S17" s="36" t="str">
        <f>INDEX(Odds!H:H,MATCH(R17,Odds!G:G,0))</f>
        <v>5/6</v>
      </c>
      <c r="T17" s="40">
        <f t="shared" si="0"/>
        <v>0</v>
      </c>
      <c r="U17" s="20" t="str">
        <f>INDEX(Match!Q:Q,MATCH(P17,Match!V:V,0))</f>
        <v>Swansea</v>
      </c>
      <c r="V17" s="20">
        <f>INDEX(Match!G:G,MATCH(P17,Match!V:V,0))</f>
        <v>2</v>
      </c>
      <c r="W17" s="20" t="str">
        <f>INDEX(Match!R:R,MATCH(P17,Match!V:V,0))</f>
        <v>Hull</v>
      </c>
      <c r="X17" s="20">
        <f>INDEX(Match!H:H,MATCH(P17,Match!V:V,0))</f>
        <v>2</v>
      </c>
      <c r="Y17" s="8">
        <f>INDEX(Odds!K:K,MATCH(J17,Odds!G:G,0))</f>
        <v>1</v>
      </c>
      <c r="AB17" s="528" t="str">
        <f>IF(O17="","",INDEX(Odds!H:H,MATCH(O17,Odds!G:G,0)))</f>
        <v/>
      </c>
      <c r="AC17" s="528" t="str">
        <f>IF(INDEX(Table!Q:Q,MATCH(A17,Table!F:F,0))="N","N","")</f>
        <v/>
      </c>
      <c r="AD17" s="69" t="s">
        <v>306</v>
      </c>
      <c r="AE17" s="72">
        <f>INDEX(Picks!F:F,MATCH(AD17,Picks!A:A,0))</f>
        <v>0.55555555555555536</v>
      </c>
      <c r="AF17" s="416">
        <f>INDEX(Weekly!I:I,MATCH(AD17,Weekly!E:E,0))</f>
        <v>2</v>
      </c>
      <c r="AG17" s="69">
        <f>IF(AE17=-10,"",_xlfn.RANK.EQ(AE17,TopScores,0))</f>
        <v>16</v>
      </c>
      <c r="AI17" s="69" t="s">
        <v>269</v>
      </c>
      <c r="AJ17" s="72">
        <f>INDEX(Picks!G:G,MATCH(AI17,Picks!A:A,0))</f>
        <v>40.903750000000002</v>
      </c>
      <c r="AK17" s="416">
        <f>INDEX(Weekly!I:I,MATCH(AI17,Weekly!E:E,0))</f>
        <v>1</v>
      </c>
      <c r="AL17" s="69">
        <f>IF(AJ17="","",_xlfn.RANK.EQ(AJ17,TopMaxScores,0))</f>
        <v>15</v>
      </c>
    </row>
    <row r="18" spans="1:38">
      <c r="A18" s="636" t="str">
        <f>A17</f>
        <v>Andy White</v>
      </c>
      <c r="B18" s="637" t="str">
        <f>IF(J18="","",J18)</f>
        <v>Fulham</v>
      </c>
      <c r="C18" s="631">
        <f>IF(J18="","",INDEX(Odds!C:C,MATCH(J18,Odds!G:G,0)))</f>
        <v>7</v>
      </c>
      <c r="D18" s="638">
        <f t="shared" si="2"/>
        <v>1.9090909090909092</v>
      </c>
      <c r="E18" s="639" t="str">
        <f t="shared" si="3"/>
        <v>√</v>
      </c>
      <c r="F18" s="640"/>
      <c r="G18" s="641"/>
      <c r="H18" s="360">
        <f>IF(G17="",0,1)</f>
        <v>1</v>
      </c>
      <c r="I18" s="360"/>
      <c r="J18" s="419" t="s">
        <v>586</v>
      </c>
      <c r="K18" s="655" t="str">
        <f>INDEX(Odds!H:H,MATCH(J18,Odds!G:G,0))</f>
        <v>10/11</v>
      </c>
      <c r="L18" s="656">
        <f>INDEX(Odds!I:I,MATCH(J18,Odds!G:G,0))</f>
        <v>1.9090909090909092</v>
      </c>
      <c r="M18" s="653">
        <f>INDEX(Odds!J:J,MATCH(J18,Odds!G:G,0))</f>
        <v>1</v>
      </c>
      <c r="N18" s="654">
        <f t="shared" si="4"/>
        <v>1.9090909090909092</v>
      </c>
      <c r="O18" s="525"/>
      <c r="P18" s="522" t="str">
        <f>IF(Match!B18="","",Match!V18)</f>
        <v xml:space="preserve">Watford 0-1 Blackburn </v>
      </c>
      <c r="Q18" s="88"/>
      <c r="R18" s="35" t="str">
        <f>IF(Odds!G18="","",Odds!G18)</f>
        <v>Watford</v>
      </c>
      <c r="S18" s="36" t="str">
        <f>INDEX(Odds!H:H,MATCH(R18,Odds!G:G,0))</f>
        <v>29/20</v>
      </c>
      <c r="T18" s="40">
        <f t="shared" si="0"/>
        <v>0</v>
      </c>
      <c r="U18" s="20" t="str">
        <f>INDEX(Match!Q:Q,MATCH(P18,Match!V:V,0))</f>
        <v>Watford</v>
      </c>
      <c r="V18" s="20">
        <f>INDEX(Match!G:G,MATCH(P18,Match!V:V,0))</f>
        <v>0</v>
      </c>
      <c r="W18" s="20" t="str">
        <f>INDEX(Match!R:R,MATCH(P18,Match!V:V,0))</f>
        <v>Blackburn</v>
      </c>
      <c r="X18" s="20">
        <f>INDEX(Match!H:H,MATCH(P18,Match!V:V,0))</f>
        <v>1</v>
      </c>
      <c r="Y18" s="8">
        <f>INDEX(Odds!K:K,MATCH(J18,Odds!G:G,0))</f>
        <v>1</v>
      </c>
      <c r="AB18" s="528" t="str">
        <f>IF(O18="","",INDEX(Odds!H:H,MATCH(O18,Odds!G:G,0)))</f>
        <v/>
      </c>
      <c r="AC18" s="528" t="str">
        <f>IF(INDEX(Table!Q:Q,MATCH(A18,Table!F:F,0))="N","N","")</f>
        <v/>
      </c>
      <c r="AD18" s="69" t="s">
        <v>417</v>
      </c>
      <c r="AE18" s="72">
        <f>INDEX(Picks!F:F,MATCH(AD18,Picks!A:A,0))</f>
        <v>-0.40000000000000036</v>
      </c>
      <c r="AF18" s="416">
        <f>INDEX(Weekly!I:I,MATCH(AD18,Weekly!E:E,0))</f>
        <v>2</v>
      </c>
      <c r="AG18" s="69">
        <f>IF(AE18=-10,"",_xlfn.RANK.EQ(AE18,TopScores,0))</f>
        <v>17</v>
      </c>
      <c r="AI18" s="71" t="s">
        <v>574</v>
      </c>
      <c r="AJ18" s="72">
        <f>INDEX(Picks!G:G,MATCH(AI18,Picks!A:A,0))</f>
        <v>37.515555555555551</v>
      </c>
      <c r="AK18" s="416">
        <f>INDEX(Weekly!I:I,MATCH(AI18,Weekly!E:E,0))</f>
        <v>1</v>
      </c>
      <c r="AL18" s="69">
        <f>IF(AJ18="","",_xlfn.RANK.EQ(AJ18,TopMaxScores,0))</f>
        <v>16</v>
      </c>
    </row>
    <row r="19" spans="1:38" ht="13.5" thickBot="1">
      <c r="A19" s="642" t="str">
        <f>A17</f>
        <v>Andy White</v>
      </c>
      <c r="B19" s="643" t="str">
        <f t="shared" si="1"/>
        <v>Spurs</v>
      </c>
      <c r="C19" s="644">
        <f>IF(J19="","",INDEX(Odds!C:C,MATCH(J19,Odds!G:G,0)))</f>
        <v>7</v>
      </c>
      <c r="D19" s="645">
        <f t="shared" si="2"/>
        <v>2.15</v>
      </c>
      <c r="E19" s="639" t="str">
        <f t="shared" si="3"/>
        <v>√</v>
      </c>
      <c r="F19" s="640"/>
      <c r="G19" s="641"/>
      <c r="H19" s="360"/>
      <c r="I19" s="360"/>
      <c r="J19" s="420" t="s">
        <v>412</v>
      </c>
      <c r="K19" s="657" t="str">
        <f>INDEX(Odds!H:H,MATCH(J19,Odds!G:G,0))</f>
        <v>23/20</v>
      </c>
      <c r="L19" s="658">
        <f>INDEX(Odds!I:I,MATCH(J19,Odds!G:G,0))</f>
        <v>2.15</v>
      </c>
      <c r="M19" s="653">
        <f>INDEX(Odds!J:J,MATCH(J19,Odds!G:G,0))</f>
        <v>1</v>
      </c>
      <c r="N19" s="659">
        <f t="shared" si="4"/>
        <v>2.15</v>
      </c>
      <c r="O19" s="526"/>
      <c r="P19" s="522" t="str">
        <f>IF(Match!B19="","",Match!V19)</f>
        <v xml:space="preserve">West Brom 0-1 Derby </v>
      </c>
      <c r="Q19" s="88"/>
      <c r="R19" s="35" t="str">
        <f>IF(Odds!G19="","",Odds!G19)</f>
        <v>West Brom</v>
      </c>
      <c r="S19" s="36" t="str">
        <f>INDEX(Odds!H:H,MATCH(R19,Odds!G:G,0))</f>
        <v>4/5</v>
      </c>
      <c r="T19" s="40">
        <f t="shared" si="0"/>
        <v>0</v>
      </c>
      <c r="U19" s="20" t="str">
        <f>INDEX(Match!Q:Q,MATCH(P19,Match!V:V,0))</f>
        <v>West Brom</v>
      </c>
      <c r="V19" s="20">
        <f>INDEX(Match!G:G,MATCH(P19,Match!V:V,0))</f>
        <v>0</v>
      </c>
      <c r="W19" s="20" t="str">
        <f>INDEX(Match!R:R,MATCH(P19,Match!V:V,0))</f>
        <v>Derby</v>
      </c>
      <c r="X19" s="20">
        <f>INDEX(Match!H:H,MATCH(P19,Match!V:V,0))</f>
        <v>1</v>
      </c>
      <c r="Y19" s="8">
        <f>INDEX(Odds!K:K,MATCH(J19,Odds!G:G,0))</f>
        <v>1</v>
      </c>
      <c r="AB19" s="529" t="str">
        <f>IF(O19="","",INDEX(Odds!H:H,MATCH(O19,Odds!G:G,0)))</f>
        <v/>
      </c>
      <c r="AC19" s="529" t="str">
        <f>IF(INDEX(Table!Q:Q,MATCH(A19,Table!F:F,0))="N","N","")</f>
        <v/>
      </c>
      <c r="AD19" s="69" t="s">
        <v>494</v>
      </c>
      <c r="AE19" s="72">
        <f>INDEX(Picks!F:F,MATCH(AD19,Picks!A:A,0))</f>
        <v>-0.75499999999999989</v>
      </c>
      <c r="AF19" s="416">
        <f>INDEX(Weekly!I:I,MATCH(AD19,Weekly!E:E,0))</f>
        <v>2</v>
      </c>
      <c r="AG19" s="69">
        <f>IF(AE19=-10,"",_xlfn.RANK.EQ(AE19,TopScores,0))</f>
        <v>18</v>
      </c>
      <c r="AI19" s="71" t="s">
        <v>349</v>
      </c>
      <c r="AJ19" s="72">
        <f>INDEX(Picks!G:G,MATCH(AI19,Picks!A:A,0))</f>
        <v>34.446249999999999</v>
      </c>
      <c r="AK19" s="416">
        <f>INDEX(Weekly!I:I,MATCH(AI19,Weekly!E:E,0))</f>
        <v>1</v>
      </c>
      <c r="AL19" s="69">
        <f>IF(AJ19="","",_xlfn.RANK.EQ(AJ19,TopMaxScores,0))</f>
        <v>17</v>
      </c>
    </row>
    <row r="20" spans="1:38" ht="13.9" thickTop="1" thickBot="1">
      <c r="A20" s="629" t="str">
        <f>Results!B20</f>
        <v>Barry Birchall</v>
      </c>
      <c r="B20" s="630" t="str">
        <f t="shared" si="1"/>
        <v>Newcastle</v>
      </c>
      <c r="C20" s="631">
        <f>IF(J20="","",INDEX(Odds!C:C,MATCH(J20,Odds!G:G,0)))</f>
        <v>7</v>
      </c>
      <c r="D20" s="632">
        <f t="shared" si="2"/>
        <v>1.4444444444444444</v>
      </c>
      <c r="E20" s="633" t="str">
        <f t="shared" si="3"/>
        <v>√</v>
      </c>
      <c r="F20" s="634">
        <f>IF(J20="",-10,INDEX(Results!T:T,MATCH(A20,Results!V:V,0)))</f>
        <v>-1.4814814814814827</v>
      </c>
      <c r="G20" s="635">
        <f>IF(J20="","",INDEX(Results!AI:AI,MATCH(A20,Results!V:V,0)))</f>
        <v>14.81481481481481</v>
      </c>
      <c r="H20" s="360" t="str">
        <f>IF(INDEX(Table!Q:Q,MATCH(A20,Table!F:F,0))="N","N","Y")</f>
        <v>Y</v>
      </c>
      <c r="I20" s="359">
        <f>INDEX(Picks!AG:AG,MATCH(A20,Picks!AD:AD,0))</f>
        <v>21</v>
      </c>
      <c r="J20" s="619" t="s">
        <v>588</v>
      </c>
      <c r="K20" s="651" t="str">
        <f>INDEX(Odds!H:H,MATCH(J20,Odds!G:G,0))</f>
        <v>4/9</v>
      </c>
      <c r="L20" s="652">
        <f>INDEX(Odds!I:I,MATCH(J20,Odds!G:G,0))</f>
        <v>1.4444444444444444</v>
      </c>
      <c r="M20" s="660">
        <f>INDEX(Odds!J:J,MATCH(J20,Odds!G:G,0))</f>
        <v>1</v>
      </c>
      <c r="N20" s="654">
        <f t="shared" si="4"/>
        <v>1.4444444444444444</v>
      </c>
      <c r="O20" s="525"/>
      <c r="P20" s="522" t="str">
        <f>IF(Match!B20="","",Match!V20)</f>
        <v xml:space="preserve">Wrexham 1-3 QPR </v>
      </c>
      <c r="Q20" s="88"/>
      <c r="R20" s="35" t="str">
        <f>IF(Odds!G20="","",Odds!G20)</f>
        <v>Wrexham</v>
      </c>
      <c r="S20" s="36" t="str">
        <f>INDEX(Odds!H:H,MATCH(R20,Odds!G:G,0))</f>
        <v>17/20</v>
      </c>
      <c r="T20" s="40">
        <f t="shared" si="0"/>
        <v>0</v>
      </c>
      <c r="U20" s="20" t="str">
        <f>INDEX(Match!Q:Q,MATCH(P20,Match!V:V,0))</f>
        <v>Wrexham</v>
      </c>
      <c r="V20" s="20">
        <f>INDEX(Match!G:G,MATCH(P20,Match!V:V,0))</f>
        <v>1</v>
      </c>
      <c r="W20" s="20" t="str">
        <f>INDEX(Match!R:R,MATCH(P20,Match!V:V,0))</f>
        <v>QPR</v>
      </c>
      <c r="X20" s="20">
        <f>INDEX(Match!H:H,MATCH(P20,Match!V:V,0))</f>
        <v>3</v>
      </c>
      <c r="Y20" s="8">
        <f>INDEX(Odds!K:K,MATCH(J20,Odds!G:G,0))</f>
        <v>1</v>
      </c>
      <c r="AB20" s="528" t="str">
        <f>IF(O20="","",INDEX(Odds!H:H,MATCH(O20,Odds!G:G,0)))</f>
        <v/>
      </c>
      <c r="AC20" s="528" t="str">
        <f>IF(INDEX(Table!Q:Q,MATCH(A20,Table!F:F,0))="N","N","")</f>
        <v/>
      </c>
      <c r="AD20" s="69" t="s">
        <v>286</v>
      </c>
      <c r="AE20" s="72">
        <f>INDEX(Picks!F:F,MATCH(AD20,Picks!A:A,0))</f>
        <v>-0.8888888888888884</v>
      </c>
      <c r="AF20" s="416">
        <f>INDEX(Weekly!I:I,MATCH(AD20,Weekly!E:E,0))</f>
        <v>2</v>
      </c>
      <c r="AG20" s="69">
        <f>IF(AE20=-10,"",_xlfn.RANK.EQ(AE20,TopScores,0))</f>
        <v>19</v>
      </c>
      <c r="AI20" s="69" t="s">
        <v>294</v>
      </c>
      <c r="AJ20" s="72">
        <f>INDEX(Picks!G:G,MATCH(AI20,Picks!A:A,0))</f>
        <v>34.383250000000004</v>
      </c>
      <c r="AK20" s="416">
        <f>INDEX(Weekly!I:I,MATCH(AI20,Weekly!E:E,0))</f>
        <v>0</v>
      </c>
      <c r="AL20" s="69">
        <f>IF(AJ20="","",_xlfn.RANK.EQ(AJ20,TopMaxScores,0))</f>
        <v>18</v>
      </c>
    </row>
    <row r="21" spans="1:38">
      <c r="A21" s="636" t="str">
        <f>A20</f>
        <v>Barry Birchall</v>
      </c>
      <c r="B21" s="637" t="str">
        <f t="shared" si="1"/>
        <v>Crewe</v>
      </c>
      <c r="C21" s="631">
        <f>IF(J21="","",INDEX(Odds!C:C,MATCH(J21,Odds!G:G,0)))</f>
        <v>7</v>
      </c>
      <c r="D21" s="638">
        <f t="shared" si="2"/>
        <v>2.5</v>
      </c>
      <c r="E21" s="639" t="str">
        <f t="shared" si="3"/>
        <v>x</v>
      </c>
      <c r="F21" s="640"/>
      <c r="G21" s="641"/>
      <c r="H21" s="360">
        <f>IF(G20="",0,1)</f>
        <v>1</v>
      </c>
      <c r="I21" s="360"/>
      <c r="J21" s="619" t="s">
        <v>563</v>
      </c>
      <c r="K21" s="655" t="str">
        <f>INDEX(Odds!H:H,MATCH(J21,Odds!G:G,0))</f>
        <v>6/4</v>
      </c>
      <c r="L21" s="656">
        <f>INDEX(Odds!I:I,MATCH(J21,Odds!G:G,0))</f>
        <v>2.5</v>
      </c>
      <c r="M21" s="653">
        <f>INDEX(Odds!J:J,MATCH(J21,Odds!G:G,0))</f>
        <v>0</v>
      </c>
      <c r="N21" s="654">
        <f t="shared" si="4"/>
        <v>0</v>
      </c>
      <c r="O21" s="525"/>
      <c r="P21" s="522" t="str">
        <f>IF(Match!B21="","",Match!V21)</f>
        <v xml:space="preserve">Barnsley 3-2 Reading </v>
      </c>
      <c r="Q21" s="88"/>
      <c r="R21" s="35" t="str">
        <f>IF(Odds!G21="","",Odds!G21)</f>
        <v>Barnsley</v>
      </c>
      <c r="S21" s="36" t="str">
        <f>INDEX(Odds!H:H,MATCH(R21,Odds!G:G,0))</f>
        <v>17/20</v>
      </c>
      <c r="T21" s="40">
        <f t="shared" si="0"/>
        <v>1</v>
      </c>
      <c r="U21" s="20" t="str">
        <f>INDEX(Match!Q:Q,MATCH(P21,Match!V:V,0))</f>
        <v>Barnsley</v>
      </c>
      <c r="V21" s="20">
        <f>INDEX(Match!G:G,MATCH(P21,Match!V:V,0))</f>
        <v>3</v>
      </c>
      <c r="W21" s="20" t="str">
        <f>INDEX(Match!R:R,MATCH(P21,Match!V:V,0))</f>
        <v>Reading</v>
      </c>
      <c r="X21" s="20">
        <f>INDEX(Match!H:H,MATCH(P21,Match!V:V,0))</f>
        <v>2</v>
      </c>
      <c r="Y21" s="8">
        <f>INDEX(Odds!K:K,MATCH(J21,Odds!G:G,0))</f>
        <v>1</v>
      </c>
      <c r="AB21" s="528" t="str">
        <f>IF(O21="","",INDEX(Odds!H:H,MATCH(O21,Odds!G:G,0)))</f>
        <v/>
      </c>
      <c r="AC21" s="528" t="str">
        <f>IF(INDEX(Table!Q:Q,MATCH(A21,Table!F:F,0))="N","N","")</f>
        <v/>
      </c>
      <c r="AD21" s="69" t="s">
        <v>289</v>
      </c>
      <c r="AE21" s="72">
        <f>INDEX(Picks!F:F,MATCH(AD21,Picks!A:A,0))</f>
        <v>-0.88888888888888928</v>
      </c>
      <c r="AF21" s="416">
        <f>INDEX(Weekly!I:I,MATCH(AD21,Weekly!E:E,0))</f>
        <v>2</v>
      </c>
      <c r="AG21" s="69">
        <f>IF(AE21=-10,"",_xlfn.RANK.EQ(AE21,TopScores,0))</f>
        <v>20</v>
      </c>
      <c r="AI21" s="71" t="s">
        <v>279</v>
      </c>
      <c r="AJ21" s="72">
        <f>INDEX(Picks!G:G,MATCH(AI21,Picks!A:A,0))</f>
        <v>31.524999999999999</v>
      </c>
      <c r="AK21" s="416">
        <f>INDEX(Weekly!I:I,MATCH(AI21,Weekly!E:E,0))</f>
        <v>2</v>
      </c>
      <c r="AL21" s="69">
        <f>IF(AJ21="","",_xlfn.RANK.EQ(AJ21,TopMaxScores,0))</f>
        <v>19</v>
      </c>
    </row>
    <row r="22" spans="1:38" ht="13.5" thickBot="1">
      <c r="A22" s="642" t="str">
        <f>A20</f>
        <v>Barry Birchall</v>
      </c>
      <c r="B22" s="643" t="str">
        <f t="shared" si="1"/>
        <v>Swindon</v>
      </c>
      <c r="C22" s="644">
        <f>IF(J22="","",INDEX(Odds!C:C,MATCH(J22,Odds!G:G,0)))</f>
        <v>7</v>
      </c>
      <c r="D22" s="645">
        <f t="shared" si="2"/>
        <v>1.6666666666666665</v>
      </c>
      <c r="E22" s="639" t="str">
        <f t="shared" si="3"/>
        <v>√</v>
      </c>
      <c r="F22" s="640"/>
      <c r="G22" s="641"/>
      <c r="H22" s="360"/>
      <c r="I22" s="360"/>
      <c r="J22" s="597" t="s">
        <v>560</v>
      </c>
      <c r="K22" s="657" t="str">
        <f>INDEX(Odds!H:H,MATCH(J22,Odds!G:G,0))</f>
        <v>4/6</v>
      </c>
      <c r="L22" s="658">
        <f>INDEX(Odds!I:I,MATCH(J22,Odds!G:G,0))</f>
        <v>1.6666666666666665</v>
      </c>
      <c r="M22" s="653">
        <f>INDEX(Odds!J:J,MATCH(J22,Odds!G:G,0))</f>
        <v>1</v>
      </c>
      <c r="N22" s="659">
        <f t="shared" si="4"/>
        <v>1.6666666666666665</v>
      </c>
      <c r="O22" s="526"/>
      <c r="P22" s="522" t="str">
        <f>IF(Match!B22="","",Match!V22)</f>
        <v xml:space="preserve">Bradford 3-1 Huddersfield </v>
      </c>
      <c r="Q22" s="88"/>
      <c r="R22" s="35" t="str">
        <f>IF(Odds!G22="","",Odds!G22)</f>
        <v>Bradford</v>
      </c>
      <c r="S22" s="36" t="str">
        <f>INDEX(Odds!H:H,MATCH(R22,Odds!G:G,0))</f>
        <v>7/5</v>
      </c>
      <c r="T22" s="40">
        <f t="shared" si="0"/>
        <v>1</v>
      </c>
      <c r="U22" s="20" t="str">
        <f>INDEX(Match!Q:Q,MATCH(P22,Match!V:V,0))</f>
        <v>Bradford</v>
      </c>
      <c r="V22" s="20">
        <f>INDEX(Match!G:G,MATCH(P22,Match!V:V,0))</f>
        <v>3</v>
      </c>
      <c r="W22" s="20" t="str">
        <f>INDEX(Match!R:R,MATCH(P22,Match!V:V,0))</f>
        <v>Huddersfield</v>
      </c>
      <c r="X22" s="20">
        <f>INDEX(Match!H:H,MATCH(P22,Match!V:V,0))</f>
        <v>1</v>
      </c>
      <c r="Y22" s="8">
        <f>INDEX(Odds!K:K,MATCH(J22,Odds!G:G,0))</f>
        <v>1</v>
      </c>
      <c r="AB22" s="529" t="str">
        <f>IF(O22="","",INDEX(Odds!H:H,MATCH(O22,Odds!G:G,0)))</f>
        <v/>
      </c>
      <c r="AC22" s="529" t="str">
        <f>IF(INDEX(Table!Q:Q,MATCH(A22,Table!F:F,0))="N","N","")</f>
        <v/>
      </c>
      <c r="AD22" s="69" t="s">
        <v>270</v>
      </c>
      <c r="AE22" s="72">
        <f>INDEX(Picks!F:F,MATCH(AD22,Picks!A:A,0))</f>
        <v>-1.4814814814814827</v>
      </c>
      <c r="AF22" s="416">
        <f>INDEX(Weekly!I:I,MATCH(AD22,Weekly!E:E,0))</f>
        <v>2</v>
      </c>
      <c r="AG22" s="69">
        <f>IF(AE22=-10,"",_xlfn.RANK.EQ(AE22,TopScores,0))</f>
        <v>21</v>
      </c>
      <c r="AI22" s="71" t="s">
        <v>284</v>
      </c>
      <c r="AJ22" s="72">
        <f>INDEX(Picks!G:G,MATCH(AI22,Picks!A:A,0))</f>
        <v>30.981250000000003</v>
      </c>
      <c r="AK22" s="416">
        <f>INDEX(Weekly!I:I,MATCH(AI22,Weekly!E:E,0))</f>
        <v>1</v>
      </c>
      <c r="AL22" s="69">
        <f>IF(AJ22="","",_xlfn.RANK.EQ(AJ22,TopMaxScores,0))</f>
        <v>20</v>
      </c>
    </row>
    <row r="23" spans="1:38" ht="13.9" thickTop="1" thickBot="1">
      <c r="A23" s="629" t="str">
        <f>Results!B23</f>
        <v>Ben Rosser</v>
      </c>
      <c r="B23" s="630" t="str">
        <f t="shared" si="1"/>
        <v>Everton draw</v>
      </c>
      <c r="C23" s="631">
        <f>IF(J23="","",INDEX(Odds!C:C,MATCH(J23,Odds!G:G,0)))</f>
        <v>7</v>
      </c>
      <c r="D23" s="632">
        <f t="shared" si="2"/>
        <v>3.2</v>
      </c>
      <c r="E23" s="633" t="str">
        <f t="shared" si="3"/>
        <v>√</v>
      </c>
      <c r="F23" s="634">
        <f>IF(J23="",-10,INDEX(Results!T:T,MATCH(A23,Results!V:V,0)))</f>
        <v>4.2181818181818187</v>
      </c>
      <c r="G23" s="635">
        <f>IF(J23="","",INDEX(Results!AI:AI,MATCH(A23,Results!V:V,0)))</f>
        <v>60.421818181818182</v>
      </c>
      <c r="H23" s="360" t="str">
        <f>IF(INDEX(Table!Q:Q,MATCH(A23,Table!F:F,0))="N","N","Y")</f>
        <v>Y</v>
      </c>
      <c r="I23" s="359">
        <f>INDEX(Picks!AG:AG,MATCH(A23,Picks!AD:AD,0))</f>
        <v>9</v>
      </c>
      <c r="J23" s="419" t="s">
        <v>648</v>
      </c>
      <c r="K23" s="651" t="str">
        <f>INDEX(Odds!H:H,MATCH(J23,Odds!G:G,0))</f>
        <v>11/5</v>
      </c>
      <c r="L23" s="652">
        <f>INDEX(Odds!I:I,MATCH(J23,Odds!G:G,0))</f>
        <v>3.2</v>
      </c>
      <c r="M23" s="660">
        <f>INDEX(Odds!J:J,MATCH(J23,Odds!G:G,0))</f>
        <v>1</v>
      </c>
      <c r="N23" s="654">
        <f t="shared" si="4"/>
        <v>3.2</v>
      </c>
      <c r="O23" s="525"/>
      <c r="P23" s="522" t="str">
        <f>IF(Match!B23="","",Match!V23)</f>
        <v xml:space="preserve">Burton 0-1 Lincoln </v>
      </c>
      <c r="Q23" s="88"/>
      <c r="R23" s="35" t="str">
        <f>IF(Odds!G23="","",Odds!G23)</f>
        <v>Burton</v>
      </c>
      <c r="S23" s="36" t="str">
        <f>INDEX(Odds!H:H,MATCH(R23,Odds!G:G,0))</f>
        <v>19/10</v>
      </c>
      <c r="T23" s="40">
        <f t="shared" si="0"/>
        <v>0</v>
      </c>
      <c r="U23" s="20" t="str">
        <f>INDEX(Match!Q:Q,MATCH(P23,Match!V:V,0))</f>
        <v>Burton</v>
      </c>
      <c r="V23" s="20">
        <f>INDEX(Match!G:G,MATCH(P23,Match!V:V,0))</f>
        <v>0</v>
      </c>
      <c r="W23" s="20" t="str">
        <f>INDEX(Match!R:R,MATCH(P23,Match!V:V,0))</f>
        <v>Lincoln</v>
      </c>
      <c r="X23" s="20">
        <f>INDEX(Match!H:H,MATCH(P23,Match!V:V,0))</f>
        <v>1</v>
      </c>
      <c r="Y23" s="8">
        <f>INDEX(Odds!K:K,MATCH(J23,Odds!G:G,0))</f>
        <v>1</v>
      </c>
      <c r="AB23" s="528" t="str">
        <f>IF(O23="","",INDEX(Odds!H:H,MATCH(O23,Odds!G:G,0)))</f>
        <v/>
      </c>
      <c r="AC23" s="528" t="str">
        <f>IF(INDEX(Table!Q:Q,MATCH(A23,Table!F:F,0))="N","N","")</f>
        <v/>
      </c>
      <c r="AD23" s="69" t="s">
        <v>277</v>
      </c>
      <c r="AE23" s="72">
        <f>INDEX(Picks!F:F,MATCH(AD23,Picks!A:A,0))</f>
        <v>-1.8666666666666671</v>
      </c>
      <c r="AF23" s="416">
        <f>INDEX(Weekly!I:I,MATCH(AD23,Weekly!E:E,0))</f>
        <v>2</v>
      </c>
      <c r="AG23" s="69">
        <f>IF(AE23=-10,"",_xlfn.RANK.EQ(AE23,TopScores,0))</f>
        <v>22</v>
      </c>
      <c r="AI23" s="71" t="s">
        <v>283</v>
      </c>
      <c r="AJ23" s="72">
        <f>INDEX(Picks!G:G,MATCH(AI23,Picks!A:A,0))</f>
        <v>30.036249999999995</v>
      </c>
      <c r="AK23" s="416">
        <f>INDEX(Weekly!I:I,MATCH(AI23,Weekly!E:E,0))</f>
        <v>1</v>
      </c>
      <c r="AL23" s="69">
        <f>IF(AJ23="","",_xlfn.RANK.EQ(AJ23,TopMaxScores,0))</f>
        <v>21</v>
      </c>
    </row>
    <row r="24" spans="1:38">
      <c r="A24" s="636" t="str">
        <f>A23</f>
        <v>Ben Rosser</v>
      </c>
      <c r="B24" s="637" t="str">
        <f t="shared" si="1"/>
        <v>Fulham</v>
      </c>
      <c r="C24" s="631">
        <f>IF(J24="","",INDEX(Odds!C:C,MATCH(J24,Odds!G:G,0)))</f>
        <v>7</v>
      </c>
      <c r="D24" s="638">
        <f t="shared" si="2"/>
        <v>1.9090909090909092</v>
      </c>
      <c r="E24" s="639" t="str">
        <f t="shared" si="3"/>
        <v>√</v>
      </c>
      <c r="F24" s="640"/>
      <c r="G24" s="641"/>
      <c r="H24" s="360">
        <f>IF(G23="",0,1)</f>
        <v>1</v>
      </c>
      <c r="I24" s="360"/>
      <c r="J24" s="419" t="s">
        <v>586</v>
      </c>
      <c r="K24" s="655" t="str">
        <f>INDEX(Odds!H:H,MATCH(J24,Odds!G:G,0))</f>
        <v>10/11</v>
      </c>
      <c r="L24" s="656">
        <f>INDEX(Odds!I:I,MATCH(J24,Odds!G:G,0))</f>
        <v>1.9090909090909092</v>
      </c>
      <c r="M24" s="653">
        <f>INDEX(Odds!J:J,MATCH(J24,Odds!G:G,0))</f>
        <v>1</v>
      </c>
      <c r="N24" s="654">
        <f t="shared" si="4"/>
        <v>1.9090909090909092</v>
      </c>
      <c r="O24" s="525"/>
      <c r="P24" s="522" t="str">
        <f>IF(Match!B24="","",Match!V24)</f>
        <v xml:space="preserve">Exeter 0-2 Port Vale </v>
      </c>
      <c r="Q24" s="88"/>
      <c r="R24" s="35" t="str">
        <f>IF(Odds!G24="","",Odds!G24)</f>
        <v>Exeter</v>
      </c>
      <c r="S24" s="36" t="str">
        <f>INDEX(Odds!H:H,MATCH(R24,Odds!G:G,0))</f>
        <v>7/4</v>
      </c>
      <c r="T24" s="40">
        <f t="shared" si="0"/>
        <v>0</v>
      </c>
      <c r="U24" s="20" t="str">
        <f>INDEX(Match!Q:Q,MATCH(P24,Match!V:V,0))</f>
        <v>Exeter</v>
      </c>
      <c r="V24" s="20">
        <f>INDEX(Match!G:G,MATCH(P24,Match!V:V,0))</f>
        <v>0</v>
      </c>
      <c r="W24" s="20" t="str">
        <f>INDEX(Match!R:R,MATCH(P24,Match!V:V,0))</f>
        <v>Port Vale</v>
      </c>
      <c r="X24" s="20">
        <f>INDEX(Match!H:H,MATCH(P24,Match!V:V,0))</f>
        <v>2</v>
      </c>
      <c r="Y24" s="8">
        <f>INDEX(Odds!K:K,MATCH(J24,Odds!G:G,0))</f>
        <v>1</v>
      </c>
      <c r="AB24" s="528" t="str">
        <f>IF(O24="","",INDEX(Odds!H:H,MATCH(O24,Odds!G:G,0)))</f>
        <v/>
      </c>
      <c r="AC24" s="528" t="str">
        <f>IF(INDEX(Table!Q:Q,MATCH(A24,Table!F:F,0))="N","N","")</f>
        <v/>
      </c>
      <c r="AD24" s="69" t="s">
        <v>575</v>
      </c>
      <c r="AE24" s="72">
        <f>INDEX(Picks!F:F,MATCH(AD24,Picks!A:A,0))</f>
        <v>-1.8666666666666671</v>
      </c>
      <c r="AF24" s="416">
        <f>INDEX(Weekly!I:I,MATCH(AD24,Weekly!E:E,0))</f>
        <v>2</v>
      </c>
      <c r="AG24" s="69">
        <f>IF(AE24=-10,"",_xlfn.RANK.EQ(AE24,TopScores,0))</f>
        <v>22</v>
      </c>
      <c r="AI24" s="71" t="s">
        <v>351</v>
      </c>
      <c r="AJ24" s="72">
        <f>INDEX(Picks!G:G,MATCH(AI24,Picks!A:A,0))</f>
        <v>29.950000000000003</v>
      </c>
      <c r="AK24" s="416">
        <f>INDEX(Weekly!I:I,MATCH(AI24,Weekly!E:E,0))</f>
        <v>1</v>
      </c>
      <c r="AL24" s="69">
        <f>IF(AJ24="","",_xlfn.RANK.EQ(AJ24,TopMaxScores,0))</f>
        <v>22</v>
      </c>
    </row>
    <row r="25" spans="1:38" ht="13.5" thickBot="1">
      <c r="A25" s="642" t="str">
        <f>A23</f>
        <v>Ben Rosser</v>
      </c>
      <c r="B25" s="643" t="str">
        <f t="shared" si="1"/>
        <v>Man U</v>
      </c>
      <c r="C25" s="644">
        <f>IF(J25="","",INDEX(Odds!C:C,MATCH(J25,Odds!G:G,0)))</f>
        <v>1</v>
      </c>
      <c r="D25" s="645">
        <f t="shared" si="2"/>
        <v>4.5999999999999996</v>
      </c>
      <c r="E25" s="639" t="str">
        <f t="shared" si="3"/>
        <v>x</v>
      </c>
      <c r="F25" s="640"/>
      <c r="G25" s="641"/>
      <c r="H25" s="360"/>
      <c r="I25" s="360"/>
      <c r="J25" s="420" t="s">
        <v>634</v>
      </c>
      <c r="K25" s="657" t="str">
        <f>INDEX(Odds!H:H,MATCH(J25,Odds!G:G,0))</f>
        <v>18/5</v>
      </c>
      <c r="L25" s="658">
        <f>INDEX(Odds!I:I,MATCH(J25,Odds!G:G,0))</f>
        <v>4.5999999999999996</v>
      </c>
      <c r="M25" s="653">
        <f>INDEX(Odds!J:J,MATCH(J25,Odds!G:G,0))</f>
        <v>0</v>
      </c>
      <c r="N25" s="659">
        <f t="shared" si="4"/>
        <v>0</v>
      </c>
      <c r="O25" s="526"/>
      <c r="P25" s="522" t="str">
        <f>IF(Match!B25="","",Match!V25)</f>
        <v xml:space="preserve">Luton 2-3 Plymouth </v>
      </c>
      <c r="Q25" s="88"/>
      <c r="R25" s="35" t="str">
        <f>IF(Odds!G25="","",Odds!G25)</f>
        <v>Luton</v>
      </c>
      <c r="S25" s="36" t="str">
        <f>INDEX(Odds!H:H,MATCH(R25,Odds!G:G,0))</f>
        <v>1/2</v>
      </c>
      <c r="T25" s="40">
        <f t="shared" si="0"/>
        <v>0</v>
      </c>
      <c r="U25" s="20" t="str">
        <f>INDEX(Match!Q:Q,MATCH(P25,Match!V:V,0))</f>
        <v>Luton</v>
      </c>
      <c r="V25" s="20">
        <f>INDEX(Match!G:G,MATCH(P25,Match!V:V,0))</f>
        <v>2</v>
      </c>
      <c r="W25" s="20" t="str">
        <f>INDEX(Match!R:R,MATCH(P25,Match!V:V,0))</f>
        <v>Plymouth</v>
      </c>
      <c r="X25" s="20">
        <f>INDEX(Match!H:H,MATCH(P25,Match!V:V,0))</f>
        <v>3</v>
      </c>
      <c r="Y25" s="8">
        <f>INDEX(Odds!K:K,MATCH(J25,Odds!G:G,0))</f>
        <v>1</v>
      </c>
      <c r="AB25" s="529" t="str">
        <f>IF(O25="","",INDEX(Odds!H:H,MATCH(O25,Odds!G:G,0)))</f>
        <v/>
      </c>
      <c r="AC25" s="529" t="str">
        <f>IF(INDEX(Table!Q:Q,MATCH(A25,Table!F:F,0))="N","N","")</f>
        <v/>
      </c>
      <c r="AD25" s="69" t="s">
        <v>268</v>
      </c>
      <c r="AE25" s="72">
        <f>INDEX(Picks!F:F,MATCH(AD25,Picks!A:A,0))</f>
        <v>-3.8</v>
      </c>
      <c r="AF25" s="416">
        <f>INDEX(Weekly!I:I,MATCH(AD25,Weekly!E:E,0))</f>
        <v>1</v>
      </c>
      <c r="AG25" s="69">
        <f>IF(AE25=-10,"",_xlfn.RANK.EQ(AE25,TopScores,0))</f>
        <v>24</v>
      </c>
      <c r="AI25" s="69" t="s">
        <v>271</v>
      </c>
      <c r="AJ25" s="72">
        <f>INDEX(Picks!G:G,MATCH(AI25,Picks!A:A,0))</f>
        <v>28.9495</v>
      </c>
      <c r="AK25" s="416">
        <f>INDEX(Weekly!I:I,MATCH(AI25,Weekly!E:E,0))</f>
        <v>2</v>
      </c>
      <c r="AL25" s="69">
        <f>IF(AJ25="","",_xlfn.RANK.EQ(AJ25,TopMaxScores,0))</f>
        <v>23</v>
      </c>
    </row>
    <row r="26" spans="1:38" ht="13.9" thickTop="1" thickBot="1">
      <c r="A26" s="629" t="str">
        <f>Results!B26</f>
        <v>Bob Bailey</v>
      </c>
      <c r="B26" s="630" t="str">
        <f t="shared" si="1"/>
        <v>Fulham</v>
      </c>
      <c r="C26" s="631">
        <f>IF(J26="","",INDEX(Odds!C:C,MATCH(J26,Odds!G:G,0)))</f>
        <v>7</v>
      </c>
      <c r="D26" s="632">
        <f t="shared" si="2"/>
        <v>1.9090909090909092</v>
      </c>
      <c r="E26" s="633" t="str">
        <f t="shared" si="3"/>
        <v>√</v>
      </c>
      <c r="F26" s="634">
        <f>IF(J26="",-10,INDEX(Results!T:T,MATCH(A26,Results!V:V,0)))</f>
        <v>1.0181818181818194</v>
      </c>
      <c r="G26" s="635">
        <f>IF(J26="","",INDEX(Results!AI:AI,MATCH(A26,Results!V:V,0)))</f>
        <v>15.586013986013988</v>
      </c>
      <c r="H26" s="360" t="str">
        <f>IF(INDEX(Table!Q:Q,MATCH(A26,Table!F:F,0))="N","N","Y")</f>
        <v>Y</v>
      </c>
      <c r="I26" s="359">
        <f>INDEX(Picks!AG:AG,MATCH(A26,Picks!AD:AD,0))</f>
        <v>15</v>
      </c>
      <c r="J26" s="419" t="s">
        <v>586</v>
      </c>
      <c r="K26" s="651" t="str">
        <f>INDEX(Odds!H:H,MATCH(J26,Odds!G:G,0))</f>
        <v>10/11</v>
      </c>
      <c r="L26" s="652">
        <f>INDEX(Odds!I:I,MATCH(J26,Odds!G:G,0))</f>
        <v>1.9090909090909092</v>
      </c>
      <c r="M26" s="660">
        <f>INDEX(Odds!J:J,MATCH(J26,Odds!G:G,0))</f>
        <v>1</v>
      </c>
      <c r="N26" s="654">
        <f t="shared" si="4"/>
        <v>1.9090909090909092</v>
      </c>
      <c r="O26" s="525"/>
      <c r="P26" s="522" t="str">
        <f>IF(Match!B26="","",Match!V26)</f>
        <v xml:space="preserve">Mansfield 1-1 Stevenage </v>
      </c>
      <c r="Q26" s="88"/>
      <c r="R26" s="35" t="str">
        <f>IF(Odds!G26="","",Odds!G26)</f>
        <v>Mansfield</v>
      </c>
      <c r="S26" s="36" t="str">
        <f>INDEX(Odds!H:H,MATCH(R26,Odds!G:G,0))</f>
        <v>6/4</v>
      </c>
      <c r="T26" s="40">
        <f t="shared" si="0"/>
        <v>0</v>
      </c>
      <c r="U26" s="20" t="str">
        <f>INDEX(Match!Q:Q,MATCH(P26,Match!V:V,0))</f>
        <v>Mansfield</v>
      </c>
      <c r="V26" s="20">
        <f>INDEX(Match!G:G,MATCH(P26,Match!V:V,0))</f>
        <v>1</v>
      </c>
      <c r="W26" s="20" t="str">
        <f>INDEX(Match!R:R,MATCH(P26,Match!V:V,0))</f>
        <v>Stevenage</v>
      </c>
      <c r="X26" s="20">
        <f>INDEX(Match!H:H,MATCH(P26,Match!V:V,0))</f>
        <v>1</v>
      </c>
      <c r="Y26" s="8">
        <f>INDEX(Odds!K:K,MATCH(J26,Odds!G:G,0))</f>
        <v>1</v>
      </c>
      <c r="AB26" s="528" t="str">
        <f>IF(O26="","",INDEX(Odds!H:H,MATCH(O26,Odds!G:G,0)))</f>
        <v/>
      </c>
      <c r="AC26" s="528" t="str">
        <f>IF(INDEX(Table!Q:Q,MATCH(A26,Table!F:F,0))="N","N","")</f>
        <v/>
      </c>
      <c r="AD26" s="69" t="s">
        <v>300</v>
      </c>
      <c r="AE26" s="72">
        <f>INDEX(Picks!F:F,MATCH(AD26,Picks!A:A,0))</f>
        <v>-3.8</v>
      </c>
      <c r="AF26" s="416">
        <f>INDEX(Weekly!I:I,MATCH(AD26,Weekly!E:E,0))</f>
        <v>1</v>
      </c>
      <c r="AG26" s="69">
        <f>IF(AE26=-10,"",_xlfn.RANK.EQ(AE26,TopScores,0))</f>
        <v>24</v>
      </c>
      <c r="AI26" s="71" t="s">
        <v>298</v>
      </c>
      <c r="AJ26" s="72">
        <f>INDEX(Picks!G:G,MATCH(AI26,Picks!A:A,0))</f>
        <v>27.862750000000005</v>
      </c>
      <c r="AK26" s="416">
        <f>INDEX(Weekly!I:I,MATCH(AI26,Weekly!E:E,0))</f>
        <v>1</v>
      </c>
      <c r="AL26" s="69">
        <f>IF(AJ26="","",_xlfn.RANK.EQ(AJ26,TopMaxScores,0))</f>
        <v>24</v>
      </c>
    </row>
    <row r="27" spans="1:38">
      <c r="A27" s="636" t="str">
        <f>A26</f>
        <v>Bob Bailey</v>
      </c>
      <c r="B27" s="637" t="str">
        <f t="shared" si="1"/>
        <v>Palace</v>
      </c>
      <c r="C27" s="631">
        <f>IF(J27="","",INDEX(Odds!C:C,MATCH(J27,Odds!G:G,0)))</f>
        <v>7</v>
      </c>
      <c r="D27" s="638">
        <f t="shared" si="2"/>
        <v>1.6153846153846154</v>
      </c>
      <c r="E27" s="639" t="str">
        <f t="shared" si="3"/>
        <v>x</v>
      </c>
      <c r="F27" s="640"/>
      <c r="G27" s="641"/>
      <c r="H27" s="360">
        <f>IF(G26="",0,1)</f>
        <v>1</v>
      </c>
      <c r="I27" s="360"/>
      <c r="J27" s="419" t="s">
        <v>590</v>
      </c>
      <c r="K27" s="655" t="str">
        <f>INDEX(Odds!H:H,MATCH(J27,Odds!G:G,0))</f>
        <v>8/13</v>
      </c>
      <c r="L27" s="656">
        <f>INDEX(Odds!I:I,MATCH(J27,Odds!G:G,0))</f>
        <v>1.6153846153846154</v>
      </c>
      <c r="M27" s="653">
        <f>INDEX(Odds!J:J,MATCH(J27,Odds!G:G,0))</f>
        <v>0</v>
      </c>
      <c r="N27" s="654">
        <f t="shared" si="4"/>
        <v>0</v>
      </c>
      <c r="O27" s="525"/>
      <c r="P27" s="522" t="str">
        <f>IF(Match!B27="","",Match!V27)</f>
        <v xml:space="preserve">Northampton 1-0 Blackpool </v>
      </c>
      <c r="Q27" s="88"/>
      <c r="R27" s="35" t="str">
        <f>IF(Odds!G27="","",Odds!G27)</f>
        <v>Northampton</v>
      </c>
      <c r="S27" s="36" t="str">
        <f>INDEX(Odds!H:H,MATCH(R27,Odds!G:G,0))</f>
        <v>13/8</v>
      </c>
      <c r="T27" s="40">
        <f t="shared" si="0"/>
        <v>1</v>
      </c>
      <c r="U27" s="20" t="str">
        <f>INDEX(Match!Q:Q,MATCH(P27,Match!V:V,0))</f>
        <v>Northampton</v>
      </c>
      <c r="V27" s="20">
        <f>INDEX(Match!G:G,MATCH(P27,Match!V:V,0))</f>
        <v>1</v>
      </c>
      <c r="W27" s="20" t="str">
        <f>INDEX(Match!R:R,MATCH(P27,Match!V:V,0))</f>
        <v>Blackpool</v>
      </c>
      <c r="X27" s="20">
        <f>INDEX(Match!H:H,MATCH(P27,Match!V:V,0))</f>
        <v>0</v>
      </c>
      <c r="Y27" s="8">
        <f>INDEX(Odds!K:K,MATCH(J27,Odds!G:G,0))</f>
        <v>1</v>
      </c>
      <c r="AB27" s="528" t="str">
        <f>IF(O27="","",INDEX(Odds!H:H,MATCH(O27,Odds!G:G,0)))</f>
        <v/>
      </c>
      <c r="AC27" s="528" t="str">
        <f>IF(INDEX(Table!Q:Q,MATCH(A27,Table!F:F,0))="N","N","")</f>
        <v/>
      </c>
      <c r="AD27" s="551" t="s">
        <v>284</v>
      </c>
      <c r="AE27" s="72">
        <f>INDEX(Picks!F:F,MATCH(AD27,Picks!A:A,0))</f>
        <v>-4.7</v>
      </c>
      <c r="AF27" s="416">
        <f>INDEX(Weekly!I:I,MATCH(AD27,Weekly!E:E,0))</f>
        <v>1</v>
      </c>
      <c r="AG27" s="69">
        <f>IF(AE27=-10,"",_xlfn.RANK.EQ(AE27,TopScores,0))</f>
        <v>26</v>
      </c>
      <c r="AI27" s="71" t="s">
        <v>292</v>
      </c>
      <c r="AJ27" s="72">
        <f>INDEX(Picks!G:G,MATCH(AI27,Picks!A:A,0))</f>
        <v>27.42</v>
      </c>
      <c r="AK27" s="416">
        <f>INDEX(Weekly!I:I,MATCH(AI27,Weekly!E:E,0))</f>
        <v>2</v>
      </c>
      <c r="AL27" s="69">
        <f>IF(AJ27="","",_xlfn.RANK.EQ(AJ27,TopMaxScores,0))</f>
        <v>25</v>
      </c>
    </row>
    <row r="28" spans="1:38" ht="13.5" thickBot="1">
      <c r="A28" s="642" t="str">
        <f>A26</f>
        <v>Bob Bailey</v>
      </c>
      <c r="B28" s="643" t="str">
        <f t="shared" si="1"/>
        <v>Bristol C</v>
      </c>
      <c r="C28" s="644">
        <f>IF(J28="","",INDEX(Odds!C:C,MATCH(J28,Odds!G:G,0)))</f>
        <v>7</v>
      </c>
      <c r="D28" s="645">
        <f t="shared" si="2"/>
        <v>2.1</v>
      </c>
      <c r="E28" s="639" t="str">
        <f t="shared" si="3"/>
        <v>√</v>
      </c>
      <c r="F28" s="640"/>
      <c r="G28" s="641"/>
      <c r="H28" s="360"/>
      <c r="I28" s="360"/>
      <c r="J28" s="420" t="s">
        <v>536</v>
      </c>
      <c r="K28" s="657" t="str">
        <f>INDEX(Odds!H:H,MATCH(J28,Odds!G:G,0))</f>
        <v>11/10</v>
      </c>
      <c r="L28" s="658">
        <f>INDEX(Odds!I:I,MATCH(J28,Odds!G:G,0))</f>
        <v>2.1</v>
      </c>
      <c r="M28" s="653">
        <f>INDEX(Odds!J:J,MATCH(J28,Odds!G:G,0))</f>
        <v>1</v>
      </c>
      <c r="N28" s="659">
        <f t="shared" si="4"/>
        <v>2.1</v>
      </c>
      <c r="O28" s="526"/>
      <c r="P28" s="522" t="str">
        <f>IF(Match!B28="","",Match!V28)</f>
        <v xml:space="preserve">Orient 1-1 Bolton </v>
      </c>
      <c r="Q28" s="88"/>
      <c r="R28" s="35" t="str">
        <f>IF(Odds!G28="","",Odds!G28)</f>
        <v>Orient</v>
      </c>
      <c r="S28" s="36" t="str">
        <f>INDEX(Odds!H:H,MATCH(R28,Odds!G:G,0))</f>
        <v>19/10</v>
      </c>
      <c r="T28" s="40">
        <f t="shared" si="0"/>
        <v>0</v>
      </c>
      <c r="U28" s="20" t="str">
        <f>INDEX(Match!Q:Q,MATCH(P28,Match!V:V,0))</f>
        <v>Orient</v>
      </c>
      <c r="V28" s="20">
        <f>INDEX(Match!G:G,MATCH(P28,Match!V:V,0))</f>
        <v>1</v>
      </c>
      <c r="W28" s="20" t="str">
        <f>INDEX(Match!R:R,MATCH(P28,Match!V:V,0))</f>
        <v>Bolton</v>
      </c>
      <c r="X28" s="20">
        <f>INDEX(Match!H:H,MATCH(P28,Match!V:V,0))</f>
        <v>1</v>
      </c>
      <c r="Y28" s="8">
        <f>INDEX(Odds!K:K,MATCH(J28,Odds!G:G,0))</f>
        <v>1</v>
      </c>
      <c r="AB28" s="529" t="str">
        <f>IF(O28="","",INDEX(Odds!H:H,MATCH(O28,Odds!G:G,0)))</f>
        <v/>
      </c>
      <c r="AC28" s="529" t="str">
        <f>IF(INDEX(Table!Q:Q,MATCH(A28,Table!F:F,0))="N","N","")</f>
        <v/>
      </c>
      <c r="AD28" s="69" t="s">
        <v>298</v>
      </c>
      <c r="AE28" s="72">
        <f>INDEX(Picks!F:F,MATCH(AD28,Picks!A:A,0))</f>
        <v>-4.8499999999999996</v>
      </c>
      <c r="AF28" s="416">
        <f>INDEX(Weekly!I:I,MATCH(AD28,Weekly!E:E,0))</f>
        <v>1</v>
      </c>
      <c r="AG28" s="69">
        <f>IF(AE28=-10,"",_xlfn.RANK.EQ(AE28,TopScores,0))</f>
        <v>27</v>
      </c>
      <c r="AI28" s="71" t="s">
        <v>277</v>
      </c>
      <c r="AJ28" s="72">
        <f>INDEX(Picks!G:G,MATCH(AI28,Picks!A:A,0))</f>
        <v>26.346666666666664</v>
      </c>
      <c r="AK28" s="416">
        <f>INDEX(Weekly!I:I,MATCH(AI28,Weekly!E:E,0))</f>
        <v>2</v>
      </c>
      <c r="AL28" s="69">
        <f>IF(AJ28="","",_xlfn.RANK.EQ(AJ28,TopMaxScores,0))</f>
        <v>26</v>
      </c>
    </row>
    <row r="29" spans="1:38" ht="13.9" thickTop="1" thickBot="1">
      <c r="A29" s="629" t="str">
        <f>Results!B29</f>
        <v>Charlie Griffiths</v>
      </c>
      <c r="B29" s="630" t="str">
        <f t="shared" si="1"/>
        <v>Salford</v>
      </c>
      <c r="C29" s="631">
        <f>IF(J29="","",INDEX(Odds!C:C,MATCH(J29,Odds!G:G,0)))</f>
        <v>7</v>
      </c>
      <c r="D29" s="632">
        <f t="shared" si="2"/>
        <v>2.5</v>
      </c>
      <c r="E29" s="633" t="str">
        <f t="shared" si="3"/>
        <v>√</v>
      </c>
      <c r="F29" s="634">
        <f>IF(J29="",-10,INDEX(Results!T:T,MATCH(A29,Results!V:V,0)))</f>
        <v>7.0500000000000007</v>
      </c>
      <c r="G29" s="635">
        <f>IF(J29="","",INDEX(Results!AI:AI,MATCH(A29,Results!V:V,0)))</f>
        <v>44.674999999999997</v>
      </c>
      <c r="H29" s="360" t="str">
        <f>IF(INDEX(Table!Q:Q,MATCH(A29,Table!F:F,0))="N","N","Y")</f>
        <v>Y</v>
      </c>
      <c r="I29" s="359">
        <f>INDEX(Picks!AG:AG,MATCH(A29,Picks!AD:AD,0))</f>
        <v>7</v>
      </c>
      <c r="J29" s="419" t="s">
        <v>548</v>
      </c>
      <c r="K29" s="651" t="str">
        <f>INDEX(Odds!H:H,MATCH(J29,Odds!G:G,0))</f>
        <v>6/4</v>
      </c>
      <c r="L29" s="652">
        <f>INDEX(Odds!I:I,MATCH(J29,Odds!G:G,0))</f>
        <v>2.5</v>
      </c>
      <c r="M29" s="660">
        <f>INDEX(Odds!J:J,MATCH(J29,Odds!G:G,0))</f>
        <v>1</v>
      </c>
      <c r="N29" s="654">
        <f t="shared" si="4"/>
        <v>2.5</v>
      </c>
      <c r="O29" s="525"/>
      <c r="P29" s="522" t="str">
        <f>IF(Match!B29="","",Match!V29)</f>
        <v xml:space="preserve">Peterbro 2-1 Wycombe </v>
      </c>
      <c r="Q29" s="88"/>
      <c r="R29" s="35" t="str">
        <f>IF(Odds!G29="","",Odds!G29)</f>
        <v>Peterbro</v>
      </c>
      <c r="S29" s="36" t="str">
        <f>INDEX(Odds!H:H,MATCH(R29,Odds!G:G,0))</f>
        <v>21/10</v>
      </c>
      <c r="T29" s="40">
        <f t="shared" si="0"/>
        <v>1</v>
      </c>
      <c r="U29" s="20" t="str">
        <f>INDEX(Match!Q:Q,MATCH(P29,Match!V:V,0))</f>
        <v>Peterbro</v>
      </c>
      <c r="V29" s="20">
        <f>INDEX(Match!G:G,MATCH(P29,Match!V:V,0))</f>
        <v>2</v>
      </c>
      <c r="W29" s="20" t="str">
        <f>INDEX(Match!R:R,MATCH(P29,Match!V:V,0))</f>
        <v>Wycombe</v>
      </c>
      <c r="X29" s="20">
        <f>INDEX(Match!H:H,MATCH(P29,Match!V:V,0))</f>
        <v>1</v>
      </c>
      <c r="Y29" s="8">
        <f>INDEX(Odds!K:K,MATCH(J29,Odds!G:G,0))</f>
        <v>1</v>
      </c>
      <c r="AB29" s="528" t="str">
        <f>IF(O29="","",INDEX(Odds!H:H,MATCH(O29,Odds!G:G,0)))</f>
        <v/>
      </c>
      <c r="AC29" s="528" t="str">
        <f>IF(INDEX(Table!Q:Q,MATCH(A29,Table!F:F,0))="N","N","")</f>
        <v/>
      </c>
      <c r="AD29" s="69" t="s">
        <v>349</v>
      </c>
      <c r="AE29" s="72">
        <f>INDEX(Picks!F:F,MATCH(AD29,Picks!A:A,0))</f>
        <v>-4.8499999999999996</v>
      </c>
      <c r="AF29" s="416">
        <f>INDEX(Weekly!I:I,MATCH(AD29,Weekly!E:E,0))</f>
        <v>1</v>
      </c>
      <c r="AG29" s="69">
        <f>IF(AE29=-10,"",_xlfn.RANK.EQ(AE29,TopScores,0))</f>
        <v>27</v>
      </c>
      <c r="AI29" s="71" t="s">
        <v>297</v>
      </c>
      <c r="AJ29" s="72">
        <f>INDEX(Picks!G:G,MATCH(AI29,Picks!A:A,0))</f>
        <v>24.64</v>
      </c>
      <c r="AK29" s="416">
        <f>INDEX(Weekly!I:I,MATCH(AI29,Weekly!E:E,0))</f>
        <v>3</v>
      </c>
      <c r="AL29" s="69">
        <f>IF(AJ29="","",_xlfn.RANK.EQ(AJ29,TopMaxScores,0))</f>
        <v>27</v>
      </c>
    </row>
    <row r="30" spans="1:38">
      <c r="A30" s="636" t="str">
        <f>A29</f>
        <v>Charlie Griffiths</v>
      </c>
      <c r="B30" s="637" t="str">
        <f t="shared" si="1"/>
        <v>Walsall</v>
      </c>
      <c r="C30" s="631">
        <f>IF(J30="","",INDEX(Odds!C:C,MATCH(J30,Odds!G:G,0)))</f>
        <v>7</v>
      </c>
      <c r="D30" s="638">
        <f t="shared" si="2"/>
        <v>2.5</v>
      </c>
      <c r="E30" s="639" t="str">
        <f t="shared" si="3"/>
        <v>x</v>
      </c>
      <c r="F30" s="640"/>
      <c r="G30" s="641"/>
      <c r="H30" s="360">
        <f>IF(G29="",0,1)</f>
        <v>1</v>
      </c>
      <c r="I30" s="360"/>
      <c r="J30" s="419" t="s">
        <v>546</v>
      </c>
      <c r="K30" s="655" t="str">
        <f>INDEX(Odds!H:H,MATCH(J30,Odds!G:G,0))</f>
        <v>6/4</v>
      </c>
      <c r="L30" s="656">
        <f>INDEX(Odds!I:I,MATCH(J30,Odds!G:G,0))</f>
        <v>2.5</v>
      </c>
      <c r="M30" s="653">
        <f>INDEX(Odds!J:J,MATCH(J30,Odds!G:G,0))</f>
        <v>0</v>
      </c>
      <c r="N30" s="654">
        <f t="shared" si="4"/>
        <v>0</v>
      </c>
      <c r="O30" s="525"/>
      <c r="P30" s="522" t="str">
        <f>IF(Match!B30="","",Match!V30)</f>
        <v xml:space="preserve">Stockport 1-1 Cardiff </v>
      </c>
      <c r="Q30" s="88"/>
      <c r="R30" s="35" t="str">
        <f>IF(Odds!G30="","",Odds!G30)</f>
        <v>Stockport</v>
      </c>
      <c r="S30" s="36" t="str">
        <f>INDEX(Odds!H:H,MATCH(R30,Odds!G:G,0))</f>
        <v>13/8</v>
      </c>
      <c r="T30" s="40">
        <f t="shared" si="0"/>
        <v>0</v>
      </c>
      <c r="U30" s="20" t="str">
        <f>INDEX(Match!Q:Q,MATCH(P30,Match!V:V,0))</f>
        <v>Stockport</v>
      </c>
      <c r="V30" s="20">
        <f>INDEX(Match!G:G,MATCH(P30,Match!V:V,0))</f>
        <v>1</v>
      </c>
      <c r="W30" s="20" t="str">
        <f>INDEX(Match!R:R,MATCH(P30,Match!V:V,0))</f>
        <v>Cardiff</v>
      </c>
      <c r="X30" s="20">
        <f>INDEX(Match!H:H,MATCH(P30,Match!V:V,0))</f>
        <v>1</v>
      </c>
      <c r="Y30" s="8">
        <f>INDEX(Odds!K:K,MATCH(J30,Odds!G:G,0))</f>
        <v>1</v>
      </c>
      <c r="AB30" s="528" t="str">
        <f>IF(O30="","",INDEX(Odds!H:H,MATCH(O30,Odds!G:G,0)))</f>
        <v/>
      </c>
      <c r="AC30" s="528" t="str">
        <f>IF(INDEX(Table!Q:Q,MATCH(A30,Table!F:F,0))="N","N","")</f>
        <v/>
      </c>
      <c r="AD30" s="69" t="s">
        <v>269</v>
      </c>
      <c r="AE30" s="72">
        <f>INDEX(Picks!F:F,MATCH(AD30,Picks!A:A,0))</f>
        <v>-4.8499999999999996</v>
      </c>
      <c r="AF30" s="416">
        <f>INDEX(Weekly!I:I,MATCH(AD30,Weekly!E:E,0))</f>
        <v>1</v>
      </c>
      <c r="AG30" s="69">
        <f>IF(AE30=-10,"",_xlfn.RANK.EQ(AE30,TopScores,0))</f>
        <v>27</v>
      </c>
      <c r="AI30" s="71" t="s">
        <v>274</v>
      </c>
      <c r="AJ30" s="72">
        <f>INDEX(Picks!G:G,MATCH(AI30,Picks!A:A,0))</f>
        <v>23.614545454545457</v>
      </c>
      <c r="AK30" s="416">
        <f>INDEX(Weekly!I:I,MATCH(AI30,Weekly!E:E,0))</f>
        <v>2</v>
      </c>
      <c r="AL30" s="69">
        <f>IF(AJ30="","",_xlfn.RANK.EQ(AJ30,TopMaxScores,0))</f>
        <v>28</v>
      </c>
    </row>
    <row r="31" spans="1:38" ht="13.5" thickBot="1">
      <c r="A31" s="642" t="str">
        <f>A29</f>
        <v>Charlie Griffiths</v>
      </c>
      <c r="B31" s="643" t="str">
        <f t="shared" si="1"/>
        <v>Orient draw</v>
      </c>
      <c r="C31" s="644">
        <f>IF(J31="","",INDEX(Odds!C:C,MATCH(J31,Odds!G:G,0)))</f>
        <v>7</v>
      </c>
      <c r="D31" s="645">
        <f t="shared" si="2"/>
        <v>3.3</v>
      </c>
      <c r="E31" s="639" t="str">
        <f t="shared" si="3"/>
        <v>√</v>
      </c>
      <c r="F31" s="640"/>
      <c r="G31" s="641"/>
      <c r="H31" s="360"/>
      <c r="I31" s="360"/>
      <c r="J31" s="420" t="s">
        <v>641</v>
      </c>
      <c r="K31" s="657" t="str">
        <f>INDEX(Odds!H:H,MATCH(J31,Odds!G:G,0))</f>
        <v>23/10</v>
      </c>
      <c r="L31" s="658">
        <f>INDEX(Odds!I:I,MATCH(J31,Odds!G:G,0))</f>
        <v>3.3</v>
      </c>
      <c r="M31" s="653">
        <f>INDEX(Odds!J:J,MATCH(J31,Odds!G:G,0))</f>
        <v>1</v>
      </c>
      <c r="N31" s="659">
        <f t="shared" si="4"/>
        <v>3.3</v>
      </c>
      <c r="O31" s="526"/>
      <c r="P31" s="522" t="str">
        <f>IF(Match!B31="","",Match!V31)</f>
        <v xml:space="preserve">Wigan 3-0 Doncaster </v>
      </c>
      <c r="Q31" s="88"/>
      <c r="R31" s="35" t="str">
        <f>IF(Odds!G31="","",Odds!G31)</f>
        <v>Wigan</v>
      </c>
      <c r="S31" s="36" t="str">
        <f>INDEX(Odds!H:H,MATCH(R31,Odds!G:G,0))</f>
        <v>8/5</v>
      </c>
      <c r="T31" s="40">
        <f t="shared" si="0"/>
        <v>1</v>
      </c>
      <c r="U31" s="20" t="str">
        <f>INDEX(Match!Q:Q,MATCH(P31,Match!V:V,0))</f>
        <v>Wigan</v>
      </c>
      <c r="V31" s="20">
        <f>INDEX(Match!G:G,MATCH(P31,Match!V:V,0))</f>
        <v>3</v>
      </c>
      <c r="W31" s="20" t="str">
        <f>INDEX(Match!R:R,MATCH(P31,Match!V:V,0))</f>
        <v>Doncaster</v>
      </c>
      <c r="X31" s="20">
        <f>INDEX(Match!H:H,MATCH(P31,Match!V:V,0))</f>
        <v>0</v>
      </c>
      <c r="Y31" s="8">
        <f>INDEX(Odds!K:K,MATCH(J31,Odds!G:G,0))</f>
        <v>1</v>
      </c>
      <c r="AB31" s="529" t="str">
        <f>IF(O31="","",INDEX(Odds!H:H,MATCH(O31,Odds!G:G,0)))</f>
        <v/>
      </c>
      <c r="AC31" s="529" t="str">
        <f>IF(INDEX(Table!Q:Q,MATCH(A31,Table!F:F,0))="N","N","")</f>
        <v/>
      </c>
      <c r="AD31" s="69" t="s">
        <v>283</v>
      </c>
      <c r="AE31" s="72">
        <f>INDEX(Picks!F:F,MATCH(AD31,Picks!A:A,0))</f>
        <v>-4.8499999999999996</v>
      </c>
      <c r="AF31" s="416">
        <f>INDEX(Weekly!I:I,MATCH(AD31,Weekly!E:E,0))</f>
        <v>1</v>
      </c>
      <c r="AG31" s="69">
        <f>IF(AE31=-10,"",_xlfn.RANK.EQ(AE31,TopScores,0))</f>
        <v>27</v>
      </c>
      <c r="AI31" s="69" t="s">
        <v>276</v>
      </c>
      <c r="AJ31" s="72">
        <f>INDEX(Picks!G:G,MATCH(AI31,Picks!A:A,0))</f>
        <v>23.156363636363636</v>
      </c>
      <c r="AK31" s="416">
        <f>INDEX(Weekly!I:I,MATCH(AI31,Weekly!E:E,0))</f>
        <v>3</v>
      </c>
      <c r="AL31" s="69">
        <f>IF(AJ31="","",_xlfn.RANK.EQ(AJ31,TopMaxScores,0))</f>
        <v>29</v>
      </c>
    </row>
    <row r="32" spans="1:38" ht="13.9" thickTop="1" thickBot="1">
      <c r="A32" s="629" t="str">
        <f>Results!B32</f>
        <v>Chris Bow</v>
      </c>
      <c r="B32" s="630" t="str">
        <f t="shared" si="1"/>
        <v>Bournemouth</v>
      </c>
      <c r="C32" s="631">
        <f>IF(J32="","",INDEX(Odds!C:C,MATCH(J32,Odds!G:G,0)))</f>
        <v>7</v>
      </c>
      <c r="D32" s="632">
        <f t="shared" si="2"/>
        <v>2.4</v>
      </c>
      <c r="E32" s="633" t="str">
        <f t="shared" si="3"/>
        <v>√</v>
      </c>
      <c r="F32" s="634">
        <f>IF(J32="",-10,INDEX(Results!T:T,MATCH(A32,Results!V:V,0)))</f>
        <v>24.64</v>
      </c>
      <c r="G32" s="635">
        <f>IF(J32="","",INDEX(Results!AI:AI,MATCH(A32,Results!V:V,0)))</f>
        <v>24.64</v>
      </c>
      <c r="H32" s="360" t="str">
        <f>IF(INDEX(Table!Q:Q,MATCH(A32,Table!F:F,0))="N","N","Y")</f>
        <v>Y</v>
      </c>
      <c r="I32" s="359">
        <f>INDEX(Picks!AG:AG,MATCH(A32,Picks!AD:AD,0))</f>
        <v>1</v>
      </c>
      <c r="J32" s="419" t="s">
        <v>581</v>
      </c>
      <c r="K32" s="651" t="str">
        <f>INDEX(Odds!H:H,MATCH(J32,Odds!G:G,0))</f>
        <v>7/5</v>
      </c>
      <c r="L32" s="652">
        <f>INDEX(Odds!I:I,MATCH(J32,Odds!G:G,0))</f>
        <v>2.4</v>
      </c>
      <c r="M32" s="660">
        <f>INDEX(Odds!J:J,MATCH(J32,Odds!G:G,0))</f>
        <v>1</v>
      </c>
      <c r="N32" s="654">
        <f t="shared" si="4"/>
        <v>2.4</v>
      </c>
      <c r="O32" s="525"/>
      <c r="P32" s="522" t="str">
        <f>IF(Match!B32="","",Match!V32)</f>
        <v xml:space="preserve">Wimbledon 2-1 Rotherham </v>
      </c>
      <c r="Q32" s="88"/>
      <c r="R32" s="35" t="str">
        <f>IF(Odds!G32="","",Odds!G32)</f>
        <v>Wimbledon</v>
      </c>
      <c r="S32" s="36" t="str">
        <f>INDEX(Odds!H:H,MATCH(R32,Odds!G:G,0))</f>
        <v>23/20</v>
      </c>
      <c r="T32" s="40">
        <f t="shared" si="0"/>
        <v>1</v>
      </c>
      <c r="U32" s="20" t="str">
        <f>INDEX(Match!Q:Q,MATCH(P32,Match!V:V,0))</f>
        <v>Wimbledon</v>
      </c>
      <c r="V32" s="20">
        <f>INDEX(Match!G:G,MATCH(P32,Match!V:V,0))</f>
        <v>2</v>
      </c>
      <c r="W32" s="20" t="str">
        <f>INDEX(Match!R:R,MATCH(P32,Match!V:V,0))</f>
        <v>Rotherham</v>
      </c>
      <c r="X32" s="20">
        <f>INDEX(Match!H:H,MATCH(P32,Match!V:V,0))</f>
        <v>1</v>
      </c>
      <c r="Y32" s="8">
        <f>INDEX(Odds!K:K,MATCH(J32,Odds!G:G,0))</f>
        <v>1</v>
      </c>
      <c r="AB32" s="528" t="str">
        <f>IF(O32="","",INDEX(Odds!H:H,MATCH(O32,Odds!G:G,0)))</f>
        <v/>
      </c>
      <c r="AC32" s="528" t="str">
        <f>IF(INDEX(Table!Q:Q,MATCH(A32,Table!F:F,0))="N","N","")</f>
        <v/>
      </c>
      <c r="AD32" s="69" t="s">
        <v>533</v>
      </c>
      <c r="AE32" s="72">
        <f>INDEX(Picks!F:F,MATCH(AD32,Picks!A:A,0))</f>
        <v>-4.9000000000000004</v>
      </c>
      <c r="AF32" s="416">
        <f>INDEX(Weekly!I:I,MATCH(AD32,Weekly!E:E,0))</f>
        <v>1</v>
      </c>
      <c r="AG32" s="69">
        <f>IF(AE32=-10,"",_xlfn.RANK.EQ(AE32,TopScores,0))</f>
        <v>31</v>
      </c>
      <c r="AI32" s="71" t="s">
        <v>488</v>
      </c>
      <c r="AJ32" s="72">
        <f>INDEX(Picks!G:G,MATCH(AI32,Picks!A:A,0))</f>
        <v>23.090909090909093</v>
      </c>
      <c r="AK32" s="416">
        <f>INDEX(Weekly!I:I,MATCH(AI32,Weekly!E:E,0))</f>
        <v>2</v>
      </c>
      <c r="AL32" s="69">
        <f>IF(AJ32="","",_xlfn.RANK.EQ(AJ32,TopMaxScores,0))</f>
        <v>30</v>
      </c>
    </row>
    <row r="33" spans="1:38">
      <c r="A33" s="636" t="str">
        <f>A32</f>
        <v>Chris Bow</v>
      </c>
      <c r="B33" s="637" t="str">
        <f t="shared" si="1"/>
        <v>Fulham</v>
      </c>
      <c r="C33" s="631">
        <f>IF(J33="","",INDEX(Odds!C:C,MATCH(J33,Odds!G:G,0)))</f>
        <v>7</v>
      </c>
      <c r="D33" s="638">
        <f t="shared" si="2"/>
        <v>1.9090909090909092</v>
      </c>
      <c r="E33" s="639" t="str">
        <f t="shared" si="3"/>
        <v>√</v>
      </c>
      <c r="F33" s="640"/>
      <c r="G33" s="641"/>
      <c r="H33" s="360">
        <f>IF(G32="",0,1)</f>
        <v>1</v>
      </c>
      <c r="I33" s="360"/>
      <c r="J33" s="419" t="s">
        <v>586</v>
      </c>
      <c r="K33" s="655" t="str">
        <f>INDEX(Odds!H:H,MATCH(J33,Odds!G:G,0))</f>
        <v>10/11</v>
      </c>
      <c r="L33" s="656">
        <f>INDEX(Odds!I:I,MATCH(J33,Odds!G:G,0))</f>
        <v>1.9090909090909092</v>
      </c>
      <c r="M33" s="653">
        <f>INDEX(Odds!J:J,MATCH(J33,Odds!G:G,0))</f>
        <v>1</v>
      </c>
      <c r="N33" s="654">
        <f t="shared" si="4"/>
        <v>1.9090909090909092</v>
      </c>
      <c r="O33" s="525"/>
      <c r="P33" s="522" t="str">
        <f>IF(Match!B33="","",Match!V33)</f>
        <v xml:space="preserve">Accrington 1-0 Colchester </v>
      </c>
      <c r="Q33" s="88"/>
      <c r="R33" s="35" t="str">
        <f>IF(Odds!G33="","",Odds!G33)</f>
        <v>Accrington</v>
      </c>
      <c r="S33" s="36" t="str">
        <f>INDEX(Odds!H:H,MATCH(R33,Odds!G:G,0))</f>
        <v>9/5</v>
      </c>
      <c r="T33" s="40">
        <f t="shared" si="0"/>
        <v>1</v>
      </c>
      <c r="U33" s="20" t="str">
        <f>INDEX(Match!Q:Q,MATCH(P33,Match!V:V,0))</f>
        <v>Accrington</v>
      </c>
      <c r="V33" s="20">
        <f>INDEX(Match!G:G,MATCH(P33,Match!V:V,0))</f>
        <v>1</v>
      </c>
      <c r="W33" s="20" t="str">
        <f>INDEX(Match!R:R,MATCH(P33,Match!V:V,0))</f>
        <v>Colchester</v>
      </c>
      <c r="X33" s="20">
        <f>INDEX(Match!H:H,MATCH(P33,Match!V:V,0))</f>
        <v>0</v>
      </c>
      <c r="Y33" s="8">
        <f>INDEX(Odds!K:K,MATCH(J33,Odds!G:G,0))</f>
        <v>1</v>
      </c>
      <c r="AB33" s="528" t="str">
        <f>IF(O33="","",INDEX(Odds!H:H,MATCH(O33,Odds!G:G,0)))</f>
        <v/>
      </c>
      <c r="AC33" s="528" t="str">
        <f>IF(INDEX(Table!Q:Q,MATCH(A33,Table!F:F,0))="N","N","")</f>
        <v/>
      </c>
      <c r="AD33" s="69" t="s">
        <v>282</v>
      </c>
      <c r="AE33" s="72">
        <f>INDEX(Picks!F:F,MATCH(AD33,Picks!A:A,0))</f>
        <v>-5.15</v>
      </c>
      <c r="AF33" s="416">
        <f>INDEX(Weekly!I:I,MATCH(AD33,Weekly!E:E,0))</f>
        <v>1</v>
      </c>
      <c r="AG33" s="69">
        <f>IF(AE33=-10,"",_xlfn.RANK.EQ(AE33,TopScores,0))</f>
        <v>32</v>
      </c>
      <c r="AI33" s="71" t="s">
        <v>287</v>
      </c>
      <c r="AJ33" s="72">
        <f>INDEX(Picks!G:G,MATCH(AI33,Picks!A:A,0))</f>
        <v>20.927500000000002</v>
      </c>
      <c r="AK33" s="416">
        <f>INDEX(Weekly!I:I,MATCH(AI33,Weekly!E:E,0))</f>
        <v>0</v>
      </c>
      <c r="AL33" s="69">
        <f>IF(AJ33="","",_xlfn.RANK.EQ(AJ33,TopMaxScores,0))</f>
        <v>31</v>
      </c>
    </row>
    <row r="34" spans="1:38" ht="13.5" thickBot="1">
      <c r="A34" s="642" t="str">
        <f>A32</f>
        <v>Chris Bow</v>
      </c>
      <c r="B34" s="643" t="str">
        <f t="shared" si="1"/>
        <v>Gillingham</v>
      </c>
      <c r="C34" s="644">
        <f>IF(J34="","",INDEX(Odds!C:C,MATCH(J34,Odds!G:G,0)))</f>
        <v>7</v>
      </c>
      <c r="D34" s="645">
        <f t="shared" si="2"/>
        <v>2.2999999999999998</v>
      </c>
      <c r="E34" s="639" t="str">
        <f t="shared" si="3"/>
        <v>√</v>
      </c>
      <c r="F34" s="640"/>
      <c r="G34" s="641"/>
      <c r="H34" s="360"/>
      <c r="I34" s="360"/>
      <c r="J34" s="420" t="s">
        <v>559</v>
      </c>
      <c r="K34" s="657" t="str">
        <f>INDEX(Odds!H:H,MATCH(J34,Odds!G:G,0))</f>
        <v>13/10</v>
      </c>
      <c r="L34" s="658">
        <f>INDEX(Odds!I:I,MATCH(J34,Odds!G:G,0))</f>
        <v>2.2999999999999998</v>
      </c>
      <c r="M34" s="653">
        <f>INDEX(Odds!J:J,MATCH(J34,Odds!G:G,0))</f>
        <v>1</v>
      </c>
      <c r="N34" s="659">
        <f t="shared" si="4"/>
        <v>2.2999999999999998</v>
      </c>
      <c r="O34" s="526"/>
      <c r="P34" s="522" t="str">
        <f>IF(Match!B34="","",Match!V34)</f>
        <v xml:space="preserve">Bristol R 2-1 Barrow </v>
      </c>
      <c r="Q34" s="88"/>
      <c r="R34" s="35" t="str">
        <f>IF(Odds!G34="","",Odds!G34)</f>
        <v>Bristol R</v>
      </c>
      <c r="S34" s="36" t="str">
        <f>INDEX(Odds!H:H,MATCH(R34,Odds!G:G,0))</f>
        <v>1/1</v>
      </c>
      <c r="T34" s="40">
        <f t="shared" si="0"/>
        <v>1</v>
      </c>
      <c r="U34" s="20" t="str">
        <f>INDEX(Match!Q:Q,MATCH(P34,Match!V:V,0))</f>
        <v>Bristol R</v>
      </c>
      <c r="V34" s="20">
        <f>INDEX(Match!G:G,MATCH(P34,Match!V:V,0))</f>
        <v>2</v>
      </c>
      <c r="W34" s="20" t="str">
        <f>INDEX(Match!R:R,MATCH(P34,Match!V:V,0))</f>
        <v>Barrow</v>
      </c>
      <c r="X34" s="20">
        <f>INDEX(Match!H:H,MATCH(P34,Match!V:V,0))</f>
        <v>1</v>
      </c>
      <c r="Y34" s="8">
        <f>INDEX(Odds!K:K,MATCH(J34,Odds!G:G,0))</f>
        <v>1</v>
      </c>
      <c r="AB34" s="529" t="str">
        <f>IF(O34="","",INDEX(Odds!H:H,MATCH(O34,Odds!G:G,0)))</f>
        <v/>
      </c>
      <c r="AC34" s="529" t="str">
        <f>IF(INDEX(Table!Q:Q,MATCH(A34,Table!F:F,0))="N","N","")</f>
        <v/>
      </c>
      <c r="AD34" s="71" t="s">
        <v>574</v>
      </c>
      <c r="AE34" s="72">
        <f>INDEX(Picks!F:F,MATCH(AD34,Picks!A:A,0))</f>
        <v>-5.5555555555555554</v>
      </c>
      <c r="AF34" s="416">
        <f>INDEX(Weekly!I:I,MATCH(AD34,Weekly!E:E,0))</f>
        <v>1</v>
      </c>
      <c r="AG34" s="69">
        <f>IF(AE34=-10,"",_xlfn.RANK.EQ(AE34,TopScores,0))</f>
        <v>33</v>
      </c>
      <c r="AI34" s="69" t="s">
        <v>282</v>
      </c>
      <c r="AJ34" s="72">
        <f>INDEX(Picks!G:G,MATCH(AI34,Picks!A:A,0))</f>
        <v>20.428750000000001</v>
      </c>
      <c r="AK34" s="416">
        <f>INDEX(Weekly!I:I,MATCH(AI34,Weekly!E:E,0))</f>
        <v>1</v>
      </c>
      <c r="AL34" s="69">
        <f>IF(AJ34="","",_xlfn.RANK.EQ(AJ34,TopMaxScores,0))</f>
        <v>32</v>
      </c>
    </row>
    <row r="35" spans="1:38" ht="13.9" thickTop="1" thickBot="1">
      <c r="A35" s="629" t="str">
        <f>Results!B35</f>
        <v>Chris Griffin</v>
      </c>
      <c r="B35" s="630" t="str">
        <f t="shared" si="1"/>
        <v>Everton draw</v>
      </c>
      <c r="C35" s="631">
        <f>IF(J35="","",INDEX(Odds!C:C,MATCH(J35,Odds!G:G,0)))</f>
        <v>7</v>
      </c>
      <c r="D35" s="632">
        <f t="shared" si="2"/>
        <v>3.2</v>
      </c>
      <c r="E35" s="633" t="str">
        <f t="shared" si="3"/>
        <v>√</v>
      </c>
      <c r="F35" s="634">
        <f>IF(J35="",-10,INDEX(Results!T:T,MATCH(A35,Results!V:V,0)))</f>
        <v>2.2666666666666675</v>
      </c>
      <c r="G35" s="635">
        <f>IF(J35="","",INDEX(Results!AI:AI,MATCH(A35,Results!V:V,0)))</f>
        <v>27.42</v>
      </c>
      <c r="H35" s="360" t="str">
        <f>IF(INDEX(Table!Q:Q,MATCH(A35,Table!F:F,0))="N","N","Y")</f>
        <v>Y</v>
      </c>
      <c r="I35" s="359">
        <f>INDEX(Picks!AG:AG,MATCH(A35,Picks!AD:AD,0))</f>
        <v>13</v>
      </c>
      <c r="J35" s="419" t="s">
        <v>648</v>
      </c>
      <c r="K35" s="651" t="str">
        <f>INDEX(Odds!H:H,MATCH(J35,Odds!G:G,0))</f>
        <v>11/5</v>
      </c>
      <c r="L35" s="652">
        <f>INDEX(Odds!I:I,MATCH(J35,Odds!G:G,0))</f>
        <v>3.2</v>
      </c>
      <c r="M35" s="660">
        <f>INDEX(Odds!J:J,MATCH(J35,Odds!G:G,0))</f>
        <v>1</v>
      </c>
      <c r="N35" s="654">
        <f t="shared" si="4"/>
        <v>3.2</v>
      </c>
      <c r="O35" s="525"/>
      <c r="P35" s="522" t="str">
        <f>IF(Match!B35="","",Match!V35)</f>
        <v xml:space="preserve">Chesterfield 1-1 MK Dons </v>
      </c>
      <c r="Q35" s="88"/>
      <c r="R35" s="35" t="str">
        <f>IF(Odds!G35="","",Odds!G35)</f>
        <v>Chesterfield</v>
      </c>
      <c r="S35" s="36" t="str">
        <f>INDEX(Odds!H:H,MATCH(R35,Odds!G:G,0))</f>
        <v>23/20</v>
      </c>
      <c r="T35" s="40">
        <f t="shared" si="0"/>
        <v>0</v>
      </c>
      <c r="U35" s="20" t="str">
        <f>INDEX(Match!Q:Q,MATCH(P35,Match!V:V,0))</f>
        <v>Chesterfield</v>
      </c>
      <c r="V35" s="20">
        <f>INDEX(Match!G:G,MATCH(P35,Match!V:V,0))</f>
        <v>1</v>
      </c>
      <c r="W35" s="20" t="str">
        <f>INDEX(Match!R:R,MATCH(P35,Match!V:V,0))</f>
        <v>MK Dons</v>
      </c>
      <c r="X35" s="20">
        <f>INDEX(Match!H:H,MATCH(P35,Match!V:V,0))</f>
        <v>1</v>
      </c>
      <c r="Y35" s="8">
        <f>INDEX(Odds!K:K,MATCH(J35,Odds!G:G,0))</f>
        <v>1</v>
      </c>
      <c r="AB35" s="528" t="str">
        <f>IF(O35="","",INDEX(Odds!H:H,MATCH(O35,Odds!G:G,0)))</f>
        <v/>
      </c>
      <c r="AC35" s="528" t="str">
        <f>IF(INDEX(Table!Q:Q,MATCH(A35,Table!F:F,0))="N","N","")</f>
        <v/>
      </c>
      <c r="AD35" s="71" t="s">
        <v>351</v>
      </c>
      <c r="AE35" s="72">
        <f>INDEX(Picks!F:F,MATCH(AD35,Picks!A:A,0))</f>
        <v>-5.5555555555555554</v>
      </c>
      <c r="AF35" s="416">
        <f>INDEX(Weekly!I:I,MATCH(AD35,Weekly!E:E,0))</f>
        <v>1</v>
      </c>
      <c r="AG35" s="69">
        <f>IF(AE35=-10,"",_xlfn.RANK.EQ(AE35,TopScores,0))</f>
        <v>33</v>
      </c>
      <c r="AI35" s="71" t="s">
        <v>288</v>
      </c>
      <c r="AJ35" s="72">
        <f>INDEX(Picks!G:G,MATCH(AI35,Picks!A:A,0))</f>
        <v>20.101818181818182</v>
      </c>
      <c r="AK35" s="416">
        <f>INDEX(Weekly!I:I,MATCH(AI35,Weekly!E:E,0))</f>
        <v>0</v>
      </c>
      <c r="AL35" s="69">
        <f>IF(AJ35="","",_xlfn.RANK.EQ(AJ35,TopMaxScores,0))</f>
        <v>33</v>
      </c>
    </row>
    <row r="36" spans="1:38">
      <c r="A36" s="636" t="str">
        <f>A35</f>
        <v>Chris Griffin</v>
      </c>
      <c r="B36" s="637" t="str">
        <f t="shared" si="1"/>
        <v>Newcastle</v>
      </c>
      <c r="C36" s="631">
        <f>IF(J36="","",INDEX(Odds!C:C,MATCH(J36,Odds!G:G,0)))</f>
        <v>7</v>
      </c>
      <c r="D36" s="638">
        <f t="shared" si="2"/>
        <v>1.4444444444444444</v>
      </c>
      <c r="E36" s="639" t="str">
        <f t="shared" si="3"/>
        <v>√</v>
      </c>
      <c r="F36" s="640"/>
      <c r="G36" s="641"/>
      <c r="H36" s="360">
        <f>IF(G35="",0,1)</f>
        <v>1</v>
      </c>
      <c r="I36" s="360"/>
      <c r="J36" s="419" t="s">
        <v>588</v>
      </c>
      <c r="K36" s="655" t="str">
        <f>INDEX(Odds!H:H,MATCH(J36,Odds!G:G,0))</f>
        <v>4/9</v>
      </c>
      <c r="L36" s="656">
        <f>INDEX(Odds!I:I,MATCH(J36,Odds!G:G,0))</f>
        <v>1.4444444444444444</v>
      </c>
      <c r="M36" s="653">
        <f>INDEX(Odds!J:J,MATCH(J36,Odds!G:G,0))</f>
        <v>1</v>
      </c>
      <c r="N36" s="654">
        <f t="shared" si="4"/>
        <v>1.4444444444444444</v>
      </c>
      <c r="O36" s="525"/>
      <c r="P36" s="522" t="str">
        <f>IF(Match!B36="","",Match!V36)</f>
        <v xml:space="preserve">Crawley 2-0 Cheltenham </v>
      </c>
      <c r="Q36" s="88"/>
      <c r="R36" s="35" t="str">
        <f>IF(Odds!G36="","",Odds!G36)</f>
        <v>Crawley</v>
      </c>
      <c r="S36" s="36" t="str">
        <f>INDEX(Odds!H:H,MATCH(R36,Odds!G:G,0))</f>
        <v>10/11</v>
      </c>
      <c r="T36" s="40">
        <f t="shared" si="0"/>
        <v>1</v>
      </c>
      <c r="U36" s="20" t="str">
        <f>INDEX(Match!Q:Q,MATCH(P36,Match!V:V,0))</f>
        <v>Crawley</v>
      </c>
      <c r="V36" s="20">
        <f>INDEX(Match!G:G,MATCH(P36,Match!V:V,0))</f>
        <v>2</v>
      </c>
      <c r="W36" s="20" t="str">
        <f>INDEX(Match!R:R,MATCH(P36,Match!V:V,0))</f>
        <v>Cheltenham</v>
      </c>
      <c r="X36" s="20">
        <f>INDEX(Match!H:H,MATCH(P36,Match!V:V,0))</f>
        <v>0</v>
      </c>
      <c r="Y36" s="8">
        <f>INDEX(Odds!K:K,MATCH(J36,Odds!G:G,0))</f>
        <v>1</v>
      </c>
      <c r="AB36" s="528" t="str">
        <f>IF(O36="","",INDEX(Odds!H:H,MATCH(O36,Odds!G:G,0)))</f>
        <v/>
      </c>
      <c r="AC36" s="528" t="str">
        <f>IF(INDEX(Table!Q:Q,MATCH(A36,Table!F:F,0))="N","N","")</f>
        <v/>
      </c>
      <c r="AD36" s="69" t="s">
        <v>296</v>
      </c>
      <c r="AE36" s="72">
        <f>INDEX(Picks!F:F,MATCH(AD36,Picks!A:A,0))</f>
        <v>-5.7</v>
      </c>
      <c r="AF36" s="416">
        <f>INDEX(Weekly!I:I,MATCH(AD36,Weekly!E:E,0))</f>
        <v>1</v>
      </c>
      <c r="AG36" s="69">
        <f>IF(AE36=-10,"",_xlfn.RANK.EQ(AE36,TopScores,0))</f>
        <v>35</v>
      </c>
      <c r="AI36" s="69" t="s">
        <v>533</v>
      </c>
      <c r="AJ36" s="72">
        <f>INDEX(Picks!G:G,MATCH(AI36,Picks!A:A,0))</f>
        <v>17.25090909090909</v>
      </c>
      <c r="AK36" s="416">
        <f>INDEX(Weekly!I:I,MATCH(AI36,Weekly!E:E,0))</f>
        <v>1</v>
      </c>
      <c r="AL36" s="69">
        <f>IF(AJ36="","",_xlfn.RANK.EQ(AJ36,TopMaxScores,0))</f>
        <v>34</v>
      </c>
    </row>
    <row r="37" spans="1:38" ht="13.5" thickBot="1">
      <c r="A37" s="642" t="str">
        <f>A35</f>
        <v>Chris Griffin</v>
      </c>
      <c r="B37" s="643" t="str">
        <f t="shared" si="1"/>
        <v>Middlesbro</v>
      </c>
      <c r="C37" s="644">
        <f>IF(J37="","",INDEX(Odds!C:C,MATCH(J37,Odds!G:G,0)))</f>
        <v>7</v>
      </c>
      <c r="D37" s="645">
        <f t="shared" si="2"/>
        <v>2.4500000000000002</v>
      </c>
      <c r="E37" s="639" t="str">
        <f t="shared" si="3"/>
        <v>x</v>
      </c>
      <c r="F37" s="640"/>
      <c r="G37" s="641"/>
      <c r="H37" s="360"/>
      <c r="I37" s="360"/>
      <c r="J37" s="420" t="s">
        <v>597</v>
      </c>
      <c r="K37" s="657" t="str">
        <f>INDEX(Odds!H:H,MATCH(J37,Odds!G:G,0))</f>
        <v>29/20</v>
      </c>
      <c r="L37" s="658">
        <f>INDEX(Odds!I:I,MATCH(J37,Odds!G:G,0))</f>
        <v>2.4500000000000002</v>
      </c>
      <c r="M37" s="653">
        <f>INDEX(Odds!J:J,MATCH(J37,Odds!G:G,0))</f>
        <v>0</v>
      </c>
      <c r="N37" s="659">
        <f t="shared" si="4"/>
        <v>0</v>
      </c>
      <c r="O37" s="526"/>
      <c r="P37" s="522" t="str">
        <f>IF(Match!B37="","",Match!V37)</f>
        <v xml:space="preserve">Crewe 1-2 Barnet </v>
      </c>
      <c r="Q37" s="88"/>
      <c r="R37" s="35" t="str">
        <f>IF(Odds!G37="","",Odds!G37)</f>
        <v>Crewe</v>
      </c>
      <c r="S37" s="36" t="str">
        <f>INDEX(Odds!H:H,MATCH(R37,Odds!G:G,0))</f>
        <v>6/4</v>
      </c>
      <c r="T37" s="40">
        <f t="shared" si="0"/>
        <v>0</v>
      </c>
      <c r="U37" s="20" t="str">
        <f>INDEX(Match!Q:Q,MATCH(P37,Match!V:V,0))</f>
        <v>Crewe</v>
      </c>
      <c r="V37" s="20">
        <f>INDEX(Match!G:G,MATCH(P37,Match!V:V,0))</f>
        <v>1</v>
      </c>
      <c r="W37" s="20" t="str">
        <f>INDEX(Match!R:R,MATCH(P37,Match!V:V,0))</f>
        <v>Barnet</v>
      </c>
      <c r="X37" s="20">
        <f>INDEX(Match!H:H,MATCH(P37,Match!V:V,0))</f>
        <v>2</v>
      </c>
      <c r="Y37" s="8">
        <f>INDEX(Odds!K:K,MATCH(J37,Odds!G:G,0))</f>
        <v>1</v>
      </c>
      <c r="AB37" s="529" t="str">
        <f>IF(O37="","",INDEX(Odds!H:H,MATCH(O37,Odds!G:G,0)))</f>
        <v/>
      </c>
      <c r="AC37" s="529" t="str">
        <f>IF(INDEX(Table!Q:Q,MATCH(A37,Table!F:F,0))="N","N","")</f>
        <v/>
      </c>
      <c r="AD37" s="69" t="s">
        <v>278</v>
      </c>
      <c r="AE37" s="72">
        <f>INDEX(Picks!F:F,MATCH(AD37,Picks!A:A,0))</f>
        <v>-7</v>
      </c>
      <c r="AF37" s="416">
        <f>INDEX(Weekly!I:I,MATCH(AD37,Weekly!E:E,0))</f>
        <v>0</v>
      </c>
      <c r="AG37" s="69">
        <f>IF(AE37=-10,"",_xlfn.RANK.EQ(AE37,TopScores,0))</f>
        <v>36</v>
      </c>
      <c r="AI37" s="69" t="s">
        <v>486</v>
      </c>
      <c r="AJ37" s="72">
        <f>INDEX(Picks!G:G,MATCH(AI37,Picks!A:A,0))</f>
        <v>15.586013986013988</v>
      </c>
      <c r="AK37" s="416">
        <f>INDEX(Weekly!I:I,MATCH(AI37,Weekly!E:E,0))</f>
        <v>2</v>
      </c>
      <c r="AL37" s="69">
        <f>IF(AJ37="","",_xlfn.RANK.EQ(AJ37,TopMaxScores,0))</f>
        <v>35</v>
      </c>
    </row>
    <row r="38" spans="1:38" ht="13.9" thickTop="1" thickBot="1">
      <c r="A38" s="629" t="str">
        <f>Results!B38</f>
        <v>Chris Luck</v>
      </c>
      <c r="B38" s="630" t="str">
        <f t="shared" si="1"/>
        <v>Everton</v>
      </c>
      <c r="C38" s="631">
        <f>IF(J38="","",INDEX(Odds!C:C,MATCH(J38,Odds!G:G,0)))</f>
        <v>7</v>
      </c>
      <c r="D38" s="632">
        <f t="shared" si="2"/>
        <v>2.4500000000000002</v>
      </c>
      <c r="E38" s="633" t="str">
        <f t="shared" si="3"/>
        <v>x</v>
      </c>
      <c r="F38" s="634">
        <f>IF(J38="",-10,INDEX(Results!T:T,MATCH(A38,Results!V:V,0)))</f>
        <v>-4.8499999999999996</v>
      </c>
      <c r="G38" s="635">
        <f>IF(J38="","",INDEX(Results!AI:AI,MATCH(A38,Results!V:V,0)))</f>
        <v>27.862750000000005</v>
      </c>
      <c r="H38" s="360" t="str">
        <f>IF(INDEX(Table!Q:Q,MATCH(A38,Table!F:F,0))="N","N","Y")</f>
        <v>Y</v>
      </c>
      <c r="I38" s="359">
        <f>INDEX(Picks!AG:AG,MATCH(A38,Picks!AD:AD,0))</f>
        <v>27</v>
      </c>
      <c r="J38" s="419" t="s">
        <v>585</v>
      </c>
      <c r="K38" s="651" t="str">
        <f>INDEX(Odds!H:H,MATCH(J38,Odds!G:G,0))</f>
        <v>29/20</v>
      </c>
      <c r="L38" s="652">
        <f>INDEX(Odds!I:I,MATCH(J38,Odds!G:G,0))</f>
        <v>2.4500000000000002</v>
      </c>
      <c r="M38" s="660">
        <f>INDEX(Odds!J:J,MATCH(J38,Odds!G:G,0))</f>
        <v>0</v>
      </c>
      <c r="N38" s="654">
        <f t="shared" si="4"/>
        <v>0</v>
      </c>
      <c r="O38" s="525"/>
      <c r="P38" s="522" t="str">
        <f>IF(Match!B38="","",Match!V38)</f>
        <v xml:space="preserve">Fleetwood 1-1 Walsall </v>
      </c>
      <c r="Q38" s="88"/>
      <c r="R38" s="35" t="str">
        <f>IF(Odds!G38="","",Odds!G38)</f>
        <v>Fleetwood</v>
      </c>
      <c r="S38" s="36" t="str">
        <f>INDEX(Odds!H:H,MATCH(R38,Odds!G:G,0))</f>
        <v>7/4</v>
      </c>
      <c r="T38" s="40">
        <f t="shared" si="0"/>
        <v>0</v>
      </c>
      <c r="U38" s="20" t="str">
        <f>INDEX(Match!Q:Q,MATCH(P38,Match!V:V,0))</f>
        <v>Fleetwood</v>
      </c>
      <c r="V38" s="20">
        <f>INDEX(Match!G:G,MATCH(P38,Match!V:V,0))</f>
        <v>1</v>
      </c>
      <c r="W38" s="20" t="str">
        <f>INDEX(Match!R:R,MATCH(P38,Match!V:V,0))</f>
        <v>Walsall</v>
      </c>
      <c r="X38" s="20">
        <f>INDEX(Match!H:H,MATCH(P38,Match!V:V,0))</f>
        <v>1</v>
      </c>
      <c r="Y38" s="8">
        <f>INDEX(Odds!K:K,MATCH(J38,Odds!G:G,0))</f>
        <v>1</v>
      </c>
      <c r="AB38" s="528" t="str">
        <f>IF(O38="","",INDEX(Odds!H:H,MATCH(O38,Odds!G:G,0)))</f>
        <v/>
      </c>
      <c r="AC38" s="528" t="str">
        <f>IF(INDEX(Table!Q:Q,MATCH(A38,Table!F:F,0))="N","N","")</f>
        <v/>
      </c>
      <c r="AD38" s="69" t="s">
        <v>273</v>
      </c>
      <c r="AE38" s="72">
        <f>INDEX(Picks!F:F,MATCH(AD38,Picks!A:A,0))</f>
        <v>-7</v>
      </c>
      <c r="AF38" s="416">
        <f>INDEX(Weekly!I:I,MATCH(AD38,Weekly!E:E,0))</f>
        <v>0</v>
      </c>
      <c r="AG38" s="69">
        <f>IF(AE38=-10,"",_xlfn.RANK.EQ(AE38,TopScores,0))</f>
        <v>36</v>
      </c>
      <c r="AI38" s="71" t="s">
        <v>306</v>
      </c>
      <c r="AJ38" s="72">
        <f>INDEX(Picks!G:G,MATCH(AI38,Picks!A:A,0))</f>
        <v>15.333333333333336</v>
      </c>
      <c r="AK38" s="416">
        <f>INDEX(Weekly!I:I,MATCH(AI38,Weekly!E:E,0))</f>
        <v>2</v>
      </c>
      <c r="AL38" s="69">
        <f>IF(AJ38="","",_xlfn.RANK.EQ(AJ38,TopMaxScores,0))</f>
        <v>36</v>
      </c>
    </row>
    <row r="39" spans="1:38">
      <c r="A39" s="636" t="str">
        <f>A38</f>
        <v>Chris Luck</v>
      </c>
      <c r="B39" s="637" t="str">
        <f t="shared" si="1"/>
        <v>Spurs</v>
      </c>
      <c r="C39" s="631">
        <f>IF(J39="","",INDEX(Odds!C:C,MATCH(J39,Odds!G:G,0)))</f>
        <v>7</v>
      </c>
      <c r="D39" s="638">
        <f t="shared" si="2"/>
        <v>2.15</v>
      </c>
      <c r="E39" s="639" t="str">
        <f t="shared" si="3"/>
        <v>√</v>
      </c>
      <c r="F39" s="640"/>
      <c r="G39" s="641"/>
      <c r="H39" s="360">
        <f>IF(G38="",0,1)</f>
        <v>1</v>
      </c>
      <c r="I39" s="360"/>
      <c r="J39" s="419" t="s">
        <v>412</v>
      </c>
      <c r="K39" s="655" t="str">
        <f>INDEX(Odds!H:H,MATCH(J39,Odds!G:G,0))</f>
        <v>23/20</v>
      </c>
      <c r="L39" s="656">
        <f>INDEX(Odds!I:I,MATCH(J39,Odds!G:G,0))</f>
        <v>2.15</v>
      </c>
      <c r="M39" s="653">
        <f>INDEX(Odds!J:J,MATCH(J39,Odds!G:G,0))</f>
        <v>1</v>
      </c>
      <c r="N39" s="654">
        <f t="shared" si="4"/>
        <v>2.15</v>
      </c>
      <c r="O39" s="525"/>
      <c r="P39" s="522" t="str">
        <f>IF(Match!B39="","",Match!V39)</f>
        <v xml:space="preserve">Gillingham 1-0 Notts Co </v>
      </c>
      <c r="Q39" s="88"/>
      <c r="R39" s="35" t="str">
        <f>IF(Odds!G39="","",Odds!G39)</f>
        <v>Gillingham</v>
      </c>
      <c r="S39" s="36" t="str">
        <f>INDEX(Odds!H:H,MATCH(R39,Odds!G:G,0))</f>
        <v>13/10</v>
      </c>
      <c r="T39" s="40">
        <f t="shared" si="0"/>
        <v>1</v>
      </c>
      <c r="U39" s="20" t="str">
        <f>INDEX(Match!Q:Q,MATCH(P39,Match!V:V,0))</f>
        <v>Gillingham</v>
      </c>
      <c r="V39" s="20">
        <f>INDEX(Match!G:G,MATCH(P39,Match!V:V,0))</f>
        <v>1</v>
      </c>
      <c r="W39" s="20" t="str">
        <f>INDEX(Match!R:R,MATCH(P39,Match!V:V,0))</f>
        <v>Notts Co</v>
      </c>
      <c r="X39" s="20">
        <f>INDEX(Match!H:H,MATCH(P39,Match!V:V,0))</f>
        <v>0</v>
      </c>
      <c r="Y39" s="8">
        <f>INDEX(Odds!K:K,MATCH(J39,Odds!G:G,0))</f>
        <v>1</v>
      </c>
      <c r="AB39" s="528" t="str">
        <f>IF(O39="","",INDEX(Odds!H:H,MATCH(O39,Odds!G:G,0)))</f>
        <v/>
      </c>
      <c r="AC39" s="528" t="str">
        <f>IF(INDEX(Table!Q:Q,MATCH(A39,Table!F:F,0))="N","N","")</f>
        <v/>
      </c>
      <c r="AD39" s="69" t="s">
        <v>287</v>
      </c>
      <c r="AE39" s="72">
        <f>INDEX(Picks!F:F,MATCH(AD39,Picks!A:A,0))</f>
        <v>-7</v>
      </c>
      <c r="AF39" s="416">
        <f>INDEX(Weekly!I:I,MATCH(AD39,Weekly!E:E,0))</f>
        <v>0</v>
      </c>
      <c r="AG39" s="69">
        <f>IF(AE39=-10,"",_xlfn.RANK.EQ(AE39,TopScores,0))</f>
        <v>36</v>
      </c>
      <c r="AI39" s="69" t="s">
        <v>270</v>
      </c>
      <c r="AJ39" s="72">
        <f>INDEX(Picks!G:G,MATCH(AI39,Picks!A:A,0))</f>
        <v>14.81481481481481</v>
      </c>
      <c r="AK39" s="416">
        <f>INDEX(Weekly!I:I,MATCH(AI39,Weekly!E:E,0))</f>
        <v>2</v>
      </c>
      <c r="AL39" s="69">
        <f>IF(AJ39="","",_xlfn.RANK.EQ(AJ39,TopMaxScores,0))</f>
        <v>37</v>
      </c>
    </row>
    <row r="40" spans="1:38" ht="13.5" thickBot="1">
      <c r="A40" s="642" t="str">
        <f>A38</f>
        <v>Chris Luck</v>
      </c>
      <c r="B40" s="643" t="str">
        <f t="shared" si="1"/>
        <v>Charlton</v>
      </c>
      <c r="C40" s="644">
        <f>IF(J40="","",INDEX(Odds!C:C,MATCH(J40,Odds!G:G,0)))</f>
        <v>7</v>
      </c>
      <c r="D40" s="645">
        <f t="shared" si="2"/>
        <v>2.2999999999999998</v>
      </c>
      <c r="E40" s="639" t="str">
        <f t="shared" si="3"/>
        <v>x</v>
      </c>
      <c r="F40" s="640"/>
      <c r="G40" s="641"/>
      <c r="H40" s="360"/>
      <c r="I40" s="360"/>
      <c r="J40" s="420" t="s">
        <v>591</v>
      </c>
      <c r="K40" s="657" t="str">
        <f>INDEX(Odds!H:H,MATCH(J40,Odds!G:G,0))</f>
        <v>13/10</v>
      </c>
      <c r="L40" s="658">
        <f>INDEX(Odds!I:I,MATCH(J40,Odds!G:G,0))</f>
        <v>2.2999999999999998</v>
      </c>
      <c r="M40" s="653">
        <f>INDEX(Odds!J:J,MATCH(J40,Odds!G:G,0))</f>
        <v>0</v>
      </c>
      <c r="N40" s="659">
        <f t="shared" si="4"/>
        <v>0</v>
      </c>
      <c r="O40" s="526"/>
      <c r="P40" s="522" t="str">
        <f>IF(Match!B40="","",Match!V40)</f>
        <v xml:space="preserve">Grimsby 1-1 Cambridge </v>
      </c>
      <c r="Q40" s="88"/>
      <c r="R40" s="35" t="str">
        <f>IF(Odds!G40="","",Odds!G40)</f>
        <v>Grimsby</v>
      </c>
      <c r="S40" s="36" t="str">
        <f>INDEX(Odds!H:H,MATCH(R40,Odds!G:G,0))</f>
        <v>23/20</v>
      </c>
      <c r="T40" s="40">
        <f t="shared" si="0"/>
        <v>0</v>
      </c>
      <c r="U40" s="20" t="str">
        <f>INDEX(Match!Q:Q,MATCH(P40,Match!V:V,0))</f>
        <v>Grimsby</v>
      </c>
      <c r="V40" s="20">
        <f>INDEX(Match!G:G,MATCH(P40,Match!V:V,0))</f>
        <v>1</v>
      </c>
      <c r="W40" s="20" t="str">
        <f>INDEX(Match!R:R,MATCH(P40,Match!V:V,0))</f>
        <v>Cambridge</v>
      </c>
      <c r="X40" s="20">
        <f>INDEX(Match!H:H,MATCH(P40,Match!V:V,0))</f>
        <v>1</v>
      </c>
      <c r="Y40" s="8">
        <f>INDEX(Odds!K:K,MATCH(J40,Odds!G:G,0))</f>
        <v>1</v>
      </c>
      <c r="AB40" s="529" t="str">
        <f>IF(O40="","",INDEX(Odds!H:H,MATCH(O40,Odds!G:G,0)))</f>
        <v/>
      </c>
      <c r="AC40" s="529" t="str">
        <f>IF(INDEX(Table!Q:Q,MATCH(A40,Table!F:F,0))="N","N","")</f>
        <v/>
      </c>
      <c r="AD40" s="69" t="s">
        <v>275</v>
      </c>
      <c r="AE40" s="72">
        <f>INDEX(Picks!F:F,MATCH(AD40,Picks!A:A,0))</f>
        <v>-7</v>
      </c>
      <c r="AF40" s="416">
        <f>INDEX(Weekly!I:I,MATCH(AD40,Weekly!E:E,0))</f>
        <v>0</v>
      </c>
      <c r="AG40" s="69">
        <f>IF(AE40=-10,"",_xlfn.RANK.EQ(AE40,TopScores,0))</f>
        <v>36</v>
      </c>
      <c r="AI40" s="71" t="s">
        <v>417</v>
      </c>
      <c r="AJ40" s="72">
        <f>INDEX(Picks!G:G,MATCH(AI40,Picks!A:A,0))</f>
        <v>13.280000000000001</v>
      </c>
      <c r="AK40" s="416">
        <f>INDEX(Weekly!I:I,MATCH(AI40,Weekly!E:E,0))</f>
        <v>2</v>
      </c>
      <c r="AL40" s="69">
        <f>IF(AJ40="","",_xlfn.RANK.EQ(AJ40,TopMaxScores,0))</f>
        <v>38</v>
      </c>
    </row>
    <row r="41" spans="1:38" ht="13.9" thickTop="1" thickBot="1">
      <c r="A41" s="629" t="str">
        <f>Results!B41</f>
        <v>Dan Gibbard</v>
      </c>
      <c r="B41" s="630" t="str">
        <f t="shared" si="1"/>
        <v>West Brom</v>
      </c>
      <c r="C41" s="631">
        <f>IF(J41="","",INDEX(Odds!C:C,MATCH(J41,Odds!G:G,0)))</f>
        <v>7</v>
      </c>
      <c r="D41" s="632">
        <f t="shared" si="2"/>
        <v>1.8</v>
      </c>
      <c r="E41" s="633" t="str">
        <f t="shared" si="3"/>
        <v>x</v>
      </c>
      <c r="F41" s="634">
        <f>IF(J41="",-10,INDEX(Results!T:T,MATCH(A41,Results!V:V,0)))</f>
        <v>15.5</v>
      </c>
      <c r="G41" s="635">
        <f>IF(J41="","",INDEX(Results!AI:AI,MATCH(A41,Results!V:V,0)))</f>
        <v>57.8</v>
      </c>
      <c r="H41" s="360" t="str">
        <f>IF(INDEX(Table!Q:Q,MATCH(A41,Table!F:F,0))="N","N","Y")</f>
        <v>Y</v>
      </c>
      <c r="I41" s="359">
        <f>INDEX(Picks!AG:AG,MATCH(A41,Picks!AD:AD,0))</f>
        <v>3</v>
      </c>
      <c r="J41" s="419" t="s">
        <v>605</v>
      </c>
      <c r="K41" s="651" t="str">
        <f>INDEX(Odds!H:H,MATCH(J41,Odds!G:G,0))</f>
        <v>4/5</v>
      </c>
      <c r="L41" s="652">
        <f>INDEX(Odds!I:I,MATCH(J41,Odds!G:G,0))</f>
        <v>1.8</v>
      </c>
      <c r="M41" s="660">
        <f>INDEX(Odds!J:J,MATCH(J41,Odds!G:G,0))</f>
        <v>0</v>
      </c>
      <c r="N41" s="654">
        <f t="shared" si="4"/>
        <v>0</v>
      </c>
      <c r="O41" s="525"/>
      <c r="P41" s="522" t="str">
        <f>IF(Match!B41="","",Match!V41)</f>
        <v xml:space="preserve">Oldham 1-0 Bromley </v>
      </c>
      <c r="Q41" s="88"/>
      <c r="R41" s="35" t="str">
        <f>IF(Odds!G41="","",Odds!G41)</f>
        <v>Oldham</v>
      </c>
      <c r="S41" s="36" t="str">
        <f>INDEX(Odds!H:H,MATCH(R41,Odds!G:G,0))</f>
        <v>6/4</v>
      </c>
      <c r="T41" s="40">
        <f t="shared" si="0"/>
        <v>1</v>
      </c>
      <c r="U41" s="20" t="str">
        <f>INDEX(Match!Q:Q,MATCH(P41,Match!V:V,0))</f>
        <v>Oldham</v>
      </c>
      <c r="V41" s="20">
        <f>INDEX(Match!G:G,MATCH(P41,Match!V:V,0))</f>
        <v>1</v>
      </c>
      <c r="W41" s="20" t="str">
        <f>INDEX(Match!R:R,MATCH(P41,Match!V:V,0))</f>
        <v>Bromley</v>
      </c>
      <c r="X41" s="20">
        <f>INDEX(Match!H:H,MATCH(P41,Match!V:V,0))</f>
        <v>0</v>
      </c>
      <c r="Y41" s="8">
        <f>INDEX(Odds!K:K,MATCH(J41,Odds!G:G,0))</f>
        <v>1</v>
      </c>
      <c r="AB41" s="528" t="str">
        <f>IF(O41="","",INDEX(Odds!H:H,MATCH(O41,Odds!G:G,0)))</f>
        <v/>
      </c>
      <c r="AC41" s="528" t="str">
        <f>IF(INDEX(Table!Q:Q,MATCH(A41,Table!F:F,0))="N","N","")</f>
        <v/>
      </c>
      <c r="AD41" s="69" t="s">
        <v>288</v>
      </c>
      <c r="AE41" s="72">
        <f>INDEX(Picks!F:F,MATCH(AD41,Picks!A:A,0))</f>
        <v>-7</v>
      </c>
      <c r="AF41" s="416">
        <f>INDEX(Weekly!I:I,MATCH(AD41,Weekly!E:E,0))</f>
        <v>0</v>
      </c>
      <c r="AG41" s="69">
        <f>IF(AE41=-10,"",_xlfn.RANK.EQ(AE41,TopScores,0))</f>
        <v>36</v>
      </c>
      <c r="AI41" s="71" t="s">
        <v>296</v>
      </c>
      <c r="AJ41" s="72">
        <f>INDEX(Picks!G:G,MATCH(AI41,Picks!A:A,0))</f>
        <v>12.753076923076925</v>
      </c>
      <c r="AK41" s="416">
        <f>INDEX(Weekly!I:I,MATCH(AI41,Weekly!E:E,0))</f>
        <v>1</v>
      </c>
      <c r="AL41" s="69">
        <f>IF(AJ41="","",_xlfn.RANK.EQ(AJ41,TopMaxScores,0))</f>
        <v>39</v>
      </c>
    </row>
    <row r="42" spans="1:38">
      <c r="A42" s="636" t="str">
        <f>A41</f>
        <v>Dan Gibbard</v>
      </c>
      <c r="B42" s="637" t="str">
        <f t="shared" si="1"/>
        <v>QPR</v>
      </c>
      <c r="C42" s="631">
        <f>IF(J42="","",INDEX(Odds!C:C,MATCH(J42,Odds!G:G,0)))</f>
        <v>7</v>
      </c>
      <c r="D42" s="638">
        <f t="shared" si="2"/>
        <v>4</v>
      </c>
      <c r="E42" s="639" t="str">
        <f t="shared" si="3"/>
        <v>√</v>
      </c>
      <c r="F42" s="640"/>
      <c r="G42" s="641"/>
      <c r="H42" s="360">
        <f>IF(G41="",0,1)</f>
        <v>1</v>
      </c>
      <c r="I42" s="360"/>
      <c r="J42" s="419" t="s">
        <v>607</v>
      </c>
      <c r="K42" s="655" t="str">
        <f>INDEX(Odds!H:H,MATCH(J42,Odds!G:G,0))</f>
        <v>3/1</v>
      </c>
      <c r="L42" s="656">
        <f>INDEX(Odds!I:I,MATCH(J42,Odds!G:G,0))</f>
        <v>4</v>
      </c>
      <c r="M42" s="653">
        <f>INDEX(Odds!J:J,MATCH(J42,Odds!G:G,0))</f>
        <v>1</v>
      </c>
      <c r="N42" s="654">
        <f t="shared" si="4"/>
        <v>4</v>
      </c>
      <c r="O42" s="525"/>
      <c r="P42" s="522" t="str">
        <f>IF(Match!B42="","",Match!V42)</f>
        <v xml:space="preserve">Shrewsbury 1-3 Salford </v>
      </c>
      <c r="Q42" s="88"/>
      <c r="R42" s="35" t="str">
        <f>IF(Odds!G42="","",Odds!G42)</f>
        <v>Shrewsbury</v>
      </c>
      <c r="S42" s="36" t="str">
        <f>INDEX(Odds!H:H,MATCH(R42,Odds!G:G,0))</f>
        <v>17/10</v>
      </c>
      <c r="T42" s="40">
        <f t="shared" si="0"/>
        <v>0</v>
      </c>
      <c r="U42" s="20" t="str">
        <f>INDEX(Match!Q:Q,MATCH(P42,Match!V:V,0))</f>
        <v>Shrewsbury</v>
      </c>
      <c r="V42" s="20">
        <f>INDEX(Match!G:G,MATCH(P42,Match!V:V,0))</f>
        <v>1</v>
      </c>
      <c r="W42" s="20" t="str">
        <f>INDEX(Match!R:R,MATCH(P42,Match!V:V,0))</f>
        <v>Salford</v>
      </c>
      <c r="X42" s="20">
        <f>INDEX(Match!H:H,MATCH(P42,Match!V:V,0))</f>
        <v>3</v>
      </c>
      <c r="Y42" s="8">
        <f>INDEX(Odds!K:K,MATCH(J42,Odds!G:G,0))</f>
        <v>1</v>
      </c>
      <c r="AB42" s="528" t="str">
        <f>IF(O42="","",INDEX(Odds!H:H,MATCH(O42,Odds!G:G,0)))</f>
        <v/>
      </c>
      <c r="AC42" s="528" t="str">
        <f>IF(INDEX(Table!Q:Q,MATCH(A42,Table!F:F,0))="N","N","")</f>
        <v/>
      </c>
      <c r="AD42" s="71" t="s">
        <v>285</v>
      </c>
      <c r="AE42" s="72">
        <f>INDEX(Picks!F:F,MATCH(AD42,Picks!A:A,0))</f>
        <v>-7</v>
      </c>
      <c r="AF42" s="416">
        <f>INDEX(Weekly!I:I,MATCH(AD42,Weekly!E:E,0))</f>
        <v>0</v>
      </c>
      <c r="AG42" s="69">
        <f>IF(AE42=-10,"",_xlfn.RANK.EQ(AE42,TopScores,0))</f>
        <v>36</v>
      </c>
      <c r="AI42" s="551" t="s">
        <v>278</v>
      </c>
      <c r="AJ42" s="72">
        <f>INDEX(Picks!G:G,MATCH(AI42,Picks!A:A,0))</f>
        <v>11.09090909090909</v>
      </c>
      <c r="AK42" s="416">
        <f>INDEX(Weekly!I:I,MATCH(AI42,Weekly!E:E,0))</f>
        <v>0</v>
      </c>
      <c r="AL42" s="69">
        <f>IF(AJ42="","",_xlfn.RANK.EQ(AJ42,TopMaxScores,0))</f>
        <v>40</v>
      </c>
    </row>
    <row r="43" spans="1:38" ht="13.5" thickBot="1">
      <c r="A43" s="642" t="str">
        <f>A41</f>
        <v>Dan Gibbard</v>
      </c>
      <c r="B43" s="643" t="str">
        <f t="shared" si="1"/>
        <v>Southampton draw</v>
      </c>
      <c r="C43" s="644">
        <f>IF(J43="","",INDEX(Odds!C:C,MATCH(J43,Odds!G:G,0)))</f>
        <v>1</v>
      </c>
      <c r="D43" s="645">
        <f t="shared" si="2"/>
        <v>3.7</v>
      </c>
      <c r="E43" s="639" t="str">
        <f t="shared" si="3"/>
        <v>√</v>
      </c>
      <c r="F43" s="640"/>
      <c r="G43" s="641"/>
      <c r="H43" s="360"/>
      <c r="I43" s="360"/>
      <c r="J43" s="420" t="s">
        <v>530</v>
      </c>
      <c r="K43" s="657" t="str">
        <f>INDEX(Odds!H:H,MATCH(J43,Odds!G:G,0))</f>
        <v>27/10</v>
      </c>
      <c r="L43" s="658">
        <f>INDEX(Odds!I:I,MATCH(J43,Odds!G:G,0))</f>
        <v>3.7</v>
      </c>
      <c r="M43" s="653">
        <f>INDEX(Odds!J:J,MATCH(J43,Odds!G:G,0))</f>
        <v>1</v>
      </c>
      <c r="N43" s="659">
        <f t="shared" si="4"/>
        <v>3.7</v>
      </c>
      <c r="O43" s="526"/>
      <c r="P43" s="522" t="str">
        <f>IF(Match!B43="","",Match!V43)</f>
        <v xml:space="preserve">Swindon 3-1 Harrogate </v>
      </c>
      <c r="Q43" s="88"/>
      <c r="R43" s="35" t="str">
        <f>IF(Odds!G43="","",Odds!G43)</f>
        <v>Swindon</v>
      </c>
      <c r="S43" s="36" t="str">
        <f>INDEX(Odds!H:H,MATCH(R43,Odds!G:G,0))</f>
        <v>4/6</v>
      </c>
      <c r="T43" s="40">
        <f t="shared" si="0"/>
        <v>1</v>
      </c>
      <c r="U43" s="20" t="str">
        <f>INDEX(Match!Q:Q,MATCH(P43,Match!V:V,0))</f>
        <v>Swindon</v>
      </c>
      <c r="V43" s="20">
        <f>INDEX(Match!G:G,MATCH(P43,Match!V:V,0))</f>
        <v>3</v>
      </c>
      <c r="W43" s="20" t="str">
        <f>INDEX(Match!R:R,MATCH(P43,Match!V:V,0))</f>
        <v>Harrogate</v>
      </c>
      <c r="X43" s="20">
        <f>INDEX(Match!H:H,MATCH(P43,Match!V:V,0))</f>
        <v>1</v>
      </c>
      <c r="Y43" s="8">
        <f>INDEX(Odds!K:K,MATCH(J43,Odds!G:G,0))</f>
        <v>1</v>
      </c>
      <c r="AB43" s="529" t="str">
        <f>IF(O43="","",INDEX(Odds!H:H,MATCH(O43,Odds!G:G,0)))</f>
        <v/>
      </c>
      <c r="AC43" s="529" t="str">
        <f>IF(INDEX(Table!Q:Q,MATCH(A43,Table!F:F,0))="N","N","")</f>
        <v/>
      </c>
      <c r="AD43" s="69" t="s">
        <v>485</v>
      </c>
      <c r="AE43" s="72">
        <f>INDEX(Picks!F:F,MATCH(AD43,Picks!A:A,0))</f>
        <v>-7</v>
      </c>
      <c r="AF43" s="416">
        <f>INDEX(Weekly!I:I,MATCH(AD43,Weekly!E:E,0))</f>
        <v>0</v>
      </c>
      <c r="AG43" s="69">
        <f>IF(AE43=-10,"",_xlfn.RANK.EQ(AE43,TopScores,0))</f>
        <v>36</v>
      </c>
      <c r="AI43" s="71" t="s">
        <v>286</v>
      </c>
      <c r="AJ43" s="72">
        <f>INDEX(Picks!G:G,MATCH(AI43,Picks!A:A,0))</f>
        <v>10.598290598290603</v>
      </c>
      <c r="AK43" s="416">
        <f>INDEX(Weekly!I:I,MATCH(AI43,Weekly!E:E,0))</f>
        <v>2</v>
      </c>
      <c r="AL43" s="69">
        <f>IF(AJ43="","",_xlfn.RANK.EQ(AJ43,TopMaxScores,0))</f>
        <v>41</v>
      </c>
    </row>
    <row r="44" spans="1:38" ht="13.9" thickTop="1" thickBot="1">
      <c r="A44" s="629" t="str">
        <f>Results!B44</f>
        <v>Dave Bell</v>
      </c>
      <c r="B44" s="630" t="str">
        <f t="shared" si="1"/>
        <v>Forest</v>
      </c>
      <c r="C44" s="631">
        <f>IF(J44="","",INDEX(Odds!C:C,MATCH(J44,Odds!G:G,0)))</f>
        <v>7</v>
      </c>
      <c r="D44" s="632">
        <f t="shared" si="2"/>
        <v>7.5</v>
      </c>
      <c r="E44" s="633" t="str">
        <f t="shared" si="3"/>
        <v>x</v>
      </c>
      <c r="F44" s="634">
        <f>IF(J44="",-10,INDEX(Results!T:T,MATCH(A44,Results!V:V,0)))</f>
        <v>-7</v>
      </c>
      <c r="G44" s="635">
        <f>IF(J44="","",INDEX(Results!AI:AI,MATCH(A44,Results!V:V,0)))</f>
        <v>374.5</v>
      </c>
      <c r="H44" s="360" t="str">
        <f>IF(INDEX(Table!Q:Q,MATCH(A44,Table!F:F,0))="N","N","Y")</f>
        <v>Y</v>
      </c>
      <c r="I44" s="359">
        <f>INDEX(Picks!AG:AG,MATCH(A44,Picks!AD:AD,0))</f>
        <v>36</v>
      </c>
      <c r="J44" s="419" t="s">
        <v>580</v>
      </c>
      <c r="K44" s="651" t="str">
        <f>INDEX(Odds!H:H,MATCH(J44,Odds!G:G,0))</f>
        <v>13/2</v>
      </c>
      <c r="L44" s="652">
        <f>INDEX(Odds!I:I,MATCH(J44,Odds!G:G,0))</f>
        <v>7.5</v>
      </c>
      <c r="M44" s="660">
        <f>INDEX(Odds!J:J,MATCH(J44,Odds!G:G,0))</f>
        <v>0</v>
      </c>
      <c r="N44" s="654">
        <f t="shared" si="4"/>
        <v>0</v>
      </c>
      <c r="O44" s="525"/>
      <c r="P44" s="522" t="str">
        <f>IF(Match!B44="","",Match!V44)</f>
        <v xml:space="preserve">Tranmere 1-1 Newport </v>
      </c>
      <c r="Q44" s="88"/>
      <c r="R44" s="35" t="str">
        <f>IF(Odds!G44="","",Odds!G44)</f>
        <v>Tranmere</v>
      </c>
      <c r="S44" s="36" t="str">
        <f>INDEX(Odds!H:H,MATCH(R44,Odds!G:G,0))</f>
        <v>8/13</v>
      </c>
      <c r="T44" s="40">
        <f t="shared" si="0"/>
        <v>0</v>
      </c>
      <c r="U44" s="20" t="str">
        <f>INDEX(Match!Q:Q,MATCH(P44,Match!V:V,0))</f>
        <v>Tranmere</v>
      </c>
      <c r="V44" s="20">
        <f>INDEX(Match!G:G,MATCH(P44,Match!V:V,0))</f>
        <v>1</v>
      </c>
      <c r="W44" s="20" t="str">
        <f>INDEX(Match!R:R,MATCH(P44,Match!V:V,0))</f>
        <v>Newport</v>
      </c>
      <c r="X44" s="20">
        <f>INDEX(Match!H:H,MATCH(P44,Match!V:V,0))</f>
        <v>1</v>
      </c>
      <c r="Y44" s="8">
        <f>INDEX(Odds!K:K,MATCH(J44,Odds!G:G,0))</f>
        <v>1</v>
      </c>
      <c r="AB44" s="528" t="str">
        <f>IF(O44="","",INDEX(Odds!H:H,MATCH(O44,Odds!G:G,0)))</f>
        <v/>
      </c>
      <c r="AC44" s="528" t="str">
        <f>IF(INDEX(Table!Q:Q,MATCH(A44,Table!F:F,0))="N","N","")</f>
        <v/>
      </c>
      <c r="AD44" s="69" t="s">
        <v>353</v>
      </c>
      <c r="AE44" s="72">
        <f>INDEX(Picks!F:F,MATCH(AD44,Picks!A:A,0))</f>
        <v>-7</v>
      </c>
      <c r="AF44" s="416">
        <f>INDEX(Weekly!I:I,MATCH(AD44,Weekly!E:E,0))</f>
        <v>0</v>
      </c>
      <c r="AG44" s="69">
        <f>IF(AE44=-10,"",_xlfn.RANK.EQ(AE44,TopScores,0))</f>
        <v>36</v>
      </c>
      <c r="AI44" s="69" t="s">
        <v>289</v>
      </c>
      <c r="AJ44" s="72">
        <f>INDEX(Picks!G:G,MATCH(AI44,Picks!A:A,0))</f>
        <v>10.598290598290596</v>
      </c>
      <c r="AK44" s="416">
        <f>INDEX(Weekly!I:I,MATCH(AI44,Weekly!E:E,0))</f>
        <v>2</v>
      </c>
      <c r="AL44" s="69">
        <f>IF(AJ44="","",_xlfn.RANK.EQ(AJ44,TopMaxScores,0))</f>
        <v>42</v>
      </c>
    </row>
    <row r="45" spans="1:38">
      <c r="A45" s="636" t="str">
        <f>A44</f>
        <v>Dave Bell</v>
      </c>
      <c r="B45" s="637" t="str">
        <f t="shared" si="1"/>
        <v>Wolves</v>
      </c>
      <c r="C45" s="631">
        <f>IF(J45="","",INDEX(Odds!C:C,MATCH(J45,Odds!G:G,0)))</f>
        <v>7</v>
      </c>
      <c r="D45" s="638">
        <f t="shared" si="2"/>
        <v>6.5</v>
      </c>
      <c r="E45" s="639" t="str">
        <f t="shared" si="3"/>
        <v>x</v>
      </c>
      <c r="F45" s="640"/>
      <c r="G45" s="641"/>
      <c r="H45" s="360">
        <f>IF(G44="",0,1)</f>
        <v>1</v>
      </c>
      <c r="I45" s="360"/>
      <c r="J45" s="419" t="s">
        <v>589</v>
      </c>
      <c r="K45" s="655" t="str">
        <f>INDEX(Odds!H:H,MATCH(J45,Odds!G:G,0))</f>
        <v>11/2</v>
      </c>
      <c r="L45" s="656">
        <f>INDEX(Odds!I:I,MATCH(J45,Odds!G:G,0))</f>
        <v>6.5</v>
      </c>
      <c r="M45" s="653">
        <f>INDEX(Odds!J:J,MATCH(J45,Odds!G:G,0))</f>
        <v>0</v>
      </c>
      <c r="N45" s="654">
        <f t="shared" si="4"/>
        <v>0</v>
      </c>
      <c r="O45" s="525"/>
      <c r="P45" s="522" t="str">
        <f>IF(Match!B45="","",Match!V45)</f>
        <v xml:space="preserve">Burnley 0-1 Liverpool </v>
      </c>
      <c r="Q45" s="88"/>
      <c r="R45" s="35" t="str">
        <f>IF(Odds!G45="","",Odds!G45)</f>
        <v>Burnley</v>
      </c>
      <c r="S45" s="36" t="str">
        <f>INDEX(Odds!H:H,MATCH(R45,Odds!G:G,0))</f>
        <v>17/2</v>
      </c>
      <c r="T45" s="40">
        <f t="shared" si="0"/>
        <v>0</v>
      </c>
      <c r="U45" s="20" t="str">
        <f>INDEX(Match!Q:Q,MATCH(P45,Match!V:V,0))</f>
        <v>Burnley</v>
      </c>
      <c r="V45" s="20">
        <f>INDEX(Match!G:G,MATCH(P45,Match!V:V,0))</f>
        <v>0</v>
      </c>
      <c r="W45" s="20" t="str">
        <f>INDEX(Match!R:R,MATCH(P45,Match!V:V,0))</f>
        <v>Liverpool</v>
      </c>
      <c r="X45" s="20">
        <f>INDEX(Match!H:H,MATCH(P45,Match!V:V,0))</f>
        <v>1</v>
      </c>
      <c r="Y45" s="8">
        <f>INDEX(Odds!K:K,MATCH(J45,Odds!G:G,0))</f>
        <v>1</v>
      </c>
      <c r="AB45" s="528" t="str">
        <f>IF(O45="","",INDEX(Odds!H:H,MATCH(O45,Odds!G:G,0)))</f>
        <v/>
      </c>
      <c r="AC45" s="528" t="str">
        <f>IF(INDEX(Table!Q:Q,MATCH(A45,Table!F:F,0))="N","N","")</f>
        <v/>
      </c>
      <c r="AD45" s="551" t="s">
        <v>502</v>
      </c>
      <c r="AE45" s="72">
        <f>INDEX(Picks!F:F,MATCH(AD45,Picks!A:A,0))</f>
        <v>-7</v>
      </c>
      <c r="AF45" s="416">
        <f>INDEX(Weekly!I:I,MATCH(AD45,Weekly!E:E,0))</f>
        <v>0</v>
      </c>
      <c r="AG45" s="69">
        <f>IF(AE45=-10,"",_xlfn.RANK.EQ(AE45,TopScores,0))</f>
        <v>36</v>
      </c>
      <c r="AI45" s="71" t="s">
        <v>494</v>
      </c>
      <c r="AJ45" s="72">
        <f>INDEX(Picks!G:G,MATCH(AI45,Picks!A:A,0))</f>
        <v>10.112500000000001</v>
      </c>
      <c r="AK45" s="416">
        <f>INDEX(Weekly!I:I,MATCH(AI45,Weekly!E:E,0))</f>
        <v>2</v>
      </c>
      <c r="AL45" s="69">
        <f>IF(AJ45="","",_xlfn.RANK.EQ(AJ45,TopMaxScores,0))</f>
        <v>43</v>
      </c>
    </row>
    <row r="46" spans="1:38" ht="13.5" thickBot="1">
      <c r="A46" s="642" t="str">
        <f>A44</f>
        <v>Dave Bell</v>
      </c>
      <c r="B46" s="643" t="str">
        <f t="shared" si="1"/>
        <v>Sunderland</v>
      </c>
      <c r="C46" s="644">
        <f>IF(J46="","",INDEX(Odds!C:C,MATCH(J46,Odds!G:G,0)))</f>
        <v>7</v>
      </c>
      <c r="D46" s="645">
        <f t="shared" si="2"/>
        <v>5</v>
      </c>
      <c r="E46" s="639" t="str">
        <f t="shared" si="3"/>
        <v>x</v>
      </c>
      <c r="F46" s="640"/>
      <c r="G46" s="641"/>
      <c r="H46" s="360"/>
      <c r="I46" s="360"/>
      <c r="J46" s="420" t="s">
        <v>167</v>
      </c>
      <c r="K46" s="657" t="str">
        <f>INDEX(Odds!H:H,MATCH(J46,Odds!G:G,0))</f>
        <v>4/1</v>
      </c>
      <c r="L46" s="658">
        <f>INDEX(Odds!I:I,MATCH(J46,Odds!G:G,0))</f>
        <v>5</v>
      </c>
      <c r="M46" s="653">
        <f>INDEX(Odds!J:J,MATCH(J46,Odds!G:G,0))</f>
        <v>0</v>
      </c>
      <c r="N46" s="659">
        <f t="shared" si="4"/>
        <v>0</v>
      </c>
      <c r="O46" s="526"/>
      <c r="P46" s="522" t="str">
        <f>IF(Match!B46="","",Match!V46)</f>
        <v xml:space="preserve">Man C 3-0 Man U </v>
      </c>
      <c r="Q46" s="88"/>
      <c r="R46" s="35" t="str">
        <f>IF(Odds!G46="","",Odds!G46)</f>
        <v>Man C</v>
      </c>
      <c r="S46" s="36" t="str">
        <f>INDEX(Odds!H:H,MATCH(R46,Odds!G:G,0))</f>
        <v>4/6</v>
      </c>
      <c r="T46" s="40">
        <f t="shared" si="0"/>
        <v>1</v>
      </c>
      <c r="U46" s="20" t="str">
        <f>INDEX(Match!Q:Q,MATCH(P46,Match!V:V,0))</f>
        <v>Man C</v>
      </c>
      <c r="V46" s="20">
        <f>INDEX(Match!G:G,MATCH(P46,Match!V:V,0))</f>
        <v>3</v>
      </c>
      <c r="W46" s="20" t="str">
        <f>INDEX(Match!R:R,MATCH(P46,Match!V:V,0))</f>
        <v>Man U</v>
      </c>
      <c r="X46" s="20">
        <f>INDEX(Match!H:H,MATCH(P46,Match!V:V,0))</f>
        <v>0</v>
      </c>
      <c r="Y46" s="8">
        <f>INDEX(Odds!K:K,MATCH(J46,Odds!G:G,0))</f>
        <v>1</v>
      </c>
      <c r="AB46" s="529" t="str">
        <f>IF(O46="","",INDEX(Odds!H:H,MATCH(O46,Odds!G:G,0)))</f>
        <v/>
      </c>
      <c r="AC46" s="529" t="str">
        <f>IF(INDEX(Table!Q:Q,MATCH(A46,Table!F:F,0))="N","N","")</f>
        <v/>
      </c>
      <c r="AD46" s="69" t="s">
        <v>294</v>
      </c>
      <c r="AE46" s="72">
        <f>INDEX(Picks!F:F,MATCH(AD46,Picks!A:A,0))</f>
        <v>-7</v>
      </c>
      <c r="AF46" s="416">
        <f>INDEX(Weekly!I:I,MATCH(AD46,Weekly!E:E,0))</f>
        <v>0</v>
      </c>
      <c r="AG46" s="69">
        <f>IF(AE46=-10,"",_xlfn.RANK.EQ(AE46,TopScores,0))</f>
        <v>36</v>
      </c>
      <c r="AH46" s="58"/>
      <c r="AI46" s="69" t="s">
        <v>352</v>
      </c>
      <c r="AJ46" s="72">
        <f>INDEX(Picks!G:G,MATCH(AI46,Picks!A:A,0))</f>
        <v>9.1120000000000019</v>
      </c>
      <c r="AK46" s="416">
        <f>INDEX(Weekly!I:I,MATCH(AI46,Weekly!E:E,0))</f>
        <v>3</v>
      </c>
      <c r="AL46" s="69">
        <f>IF(AJ46="","",_xlfn.RANK.EQ(AJ46,TopMaxScores,0))</f>
        <v>44</v>
      </c>
    </row>
    <row r="47" spans="1:38" ht="13.9" thickTop="1" thickBot="1">
      <c r="A47" s="629" t="str">
        <f>Results!B47</f>
        <v>David Dunn</v>
      </c>
      <c r="B47" s="630" t="str">
        <f t="shared" si="1"/>
        <v>Chelsea</v>
      </c>
      <c r="C47" s="631">
        <f>IF(J47="","",INDEX(Odds!C:C,MATCH(J47,Odds!G:G,0)))</f>
        <v>7</v>
      </c>
      <c r="D47" s="632">
        <f t="shared" si="2"/>
        <v>1.75</v>
      </c>
      <c r="E47" s="633" t="str">
        <f t="shared" si="3"/>
        <v>x</v>
      </c>
      <c r="F47" s="634">
        <f>IF(J47="",-10,INDEX(Results!T:T,MATCH(A47,Results!V:V,0)))</f>
        <v>-4.8499999999999996</v>
      </c>
      <c r="G47" s="635">
        <f>IF(J47="","",INDEX(Results!AI:AI,MATCH(A47,Results!V:V,0)))</f>
        <v>34.446249999999999</v>
      </c>
      <c r="H47" s="360" t="str">
        <f>IF(INDEX(Table!Q:Q,MATCH(A47,Table!F:F,0))="N","N","Y")</f>
        <v>Y</v>
      </c>
      <c r="I47" s="359">
        <f>INDEX(Picks!AG:AG,MATCH(A47,Picks!AD:AD,0))</f>
        <v>27</v>
      </c>
      <c r="J47" s="419" t="s">
        <v>584</v>
      </c>
      <c r="K47" s="651" t="str">
        <f>INDEX(Odds!H:H,MATCH(J47,Odds!G:G,0))</f>
        <v>3/4</v>
      </c>
      <c r="L47" s="652">
        <f>INDEX(Odds!I:I,MATCH(J47,Odds!G:G,0))</f>
        <v>1.75</v>
      </c>
      <c r="M47" s="660">
        <f>INDEX(Odds!J:J,MATCH(J47,Odds!G:G,0))</f>
        <v>0</v>
      </c>
      <c r="N47" s="654">
        <f t="shared" si="4"/>
        <v>0</v>
      </c>
      <c r="O47" s="525"/>
      <c r="P47" s="523" t="str">
        <f>IF(Match!B47="","",Match!V47)</f>
        <v xml:space="preserve">Southampton 0-0 Portsmouth </v>
      </c>
      <c r="Q47" s="88"/>
      <c r="R47" s="41" t="str">
        <f>IF(Odds!G47="","",Odds!G47)</f>
        <v>Southampton</v>
      </c>
      <c r="S47" s="42" t="str">
        <f>INDEX(Odds!H:H,MATCH(R47,Odds!G:G,0))</f>
        <v>7/10</v>
      </c>
      <c r="T47" s="43">
        <f>IF(V47&gt;X47,1,0)</f>
        <v>0</v>
      </c>
      <c r="U47" s="20" t="str">
        <f>INDEX(Match!Q:Q,MATCH(P47,Match!V:V,0))</f>
        <v>Southampton</v>
      </c>
      <c r="V47" s="20">
        <f>INDEX(Match!G:G,MATCH(P47,Match!V:V,0))</f>
        <v>0</v>
      </c>
      <c r="W47" s="20" t="str">
        <f>INDEX(Match!R:R,MATCH(P47,Match!V:V,0))</f>
        <v>Portsmouth</v>
      </c>
      <c r="X47" s="20">
        <f>INDEX(Match!H:H,MATCH(P47,Match!V:V,0))</f>
        <v>0</v>
      </c>
      <c r="Y47" s="8">
        <f>INDEX(Odds!K:K,MATCH(J47,Odds!G:G,0))</f>
        <v>1</v>
      </c>
      <c r="AB47" s="528" t="str">
        <f>IF(O47="","",INDEX(Odds!H:H,MATCH(O47,Odds!G:G,0)))</f>
        <v/>
      </c>
      <c r="AC47" s="528" t="str">
        <f>IF(INDEX(Table!Q:Q,MATCH(A47,Table!F:F,0))="N","N","")</f>
        <v/>
      </c>
      <c r="AD47" s="69" t="s">
        <v>299</v>
      </c>
      <c r="AE47" s="72">
        <f>INDEX(Picks!F:F,MATCH(AD47,Picks!A:A,0))</f>
        <v>-10</v>
      </c>
      <c r="AF47" s="416">
        <f>INDEX(Weekly!I:I,MATCH(AD47,Weekly!E:E,0))</f>
        <v>0</v>
      </c>
      <c r="AG47" s="69" t="str">
        <f>IF(AE47=-10,"",_xlfn.RANK.EQ(AE47,TopScores,0))</f>
        <v/>
      </c>
      <c r="AH47" s="58"/>
      <c r="AI47" s="71" t="s">
        <v>575</v>
      </c>
      <c r="AJ47" s="72">
        <f>INDEX(Picks!G:G,MATCH(AI47,Picks!A:A,0))</f>
        <v>7.3333333333333321</v>
      </c>
      <c r="AK47" s="416">
        <f>INDEX(Weekly!I:I,MATCH(AI47,Weekly!E:E,0))</f>
        <v>2</v>
      </c>
      <c r="AL47" s="69">
        <f>IF(AJ47="","",_xlfn.RANK.EQ(AJ47,TopMaxScores,0))</f>
        <v>45</v>
      </c>
    </row>
    <row r="48" spans="1:38">
      <c r="A48" s="636" t="str">
        <f>A47</f>
        <v>David Dunn</v>
      </c>
      <c r="B48" s="637" t="str">
        <f t="shared" si="1"/>
        <v>Leeds</v>
      </c>
      <c r="C48" s="631">
        <f>IF(J48="","",INDEX(Odds!C:C,MATCH(J48,Odds!G:G,0)))</f>
        <v>7</v>
      </c>
      <c r="D48" s="638">
        <f t="shared" si="2"/>
        <v>3.9</v>
      </c>
      <c r="E48" s="639" t="str">
        <f t="shared" si="3"/>
        <v>x</v>
      </c>
      <c r="F48" s="640"/>
      <c r="G48" s="641"/>
      <c r="H48" s="360">
        <f>IF(G47="",0,1)</f>
        <v>1</v>
      </c>
      <c r="I48" s="360"/>
      <c r="J48" s="419" t="s">
        <v>587</v>
      </c>
      <c r="K48" s="655" t="str">
        <f>INDEX(Odds!H:H,MATCH(J48,Odds!G:G,0))</f>
        <v>29/10</v>
      </c>
      <c r="L48" s="656">
        <f>INDEX(Odds!I:I,MATCH(J48,Odds!G:G,0))</f>
        <v>3.9</v>
      </c>
      <c r="M48" s="653">
        <f>INDEX(Odds!J:J,MATCH(J48,Odds!G:G,0))</f>
        <v>0</v>
      </c>
      <c r="N48" s="654">
        <f t="shared" si="4"/>
        <v>0</v>
      </c>
      <c r="O48" s="525"/>
      <c r="P48" s="58"/>
      <c r="R48" s="35" t="str">
        <f>IF(Odds!G48="","",Odds!G48)</f>
        <v>Ipswich draw</v>
      </c>
      <c r="S48" s="36" t="str">
        <f>INDEX(Odds!H:H,MATCH(R48,Odds!G:G,0))</f>
        <v>5/2</v>
      </c>
      <c r="T48" s="40">
        <f t="shared" ref="T48" si="5">IF(V2=X2,1,0)</f>
        <v>0</v>
      </c>
      <c r="Y48" s="8">
        <f>INDEX(Odds!K:K,MATCH(J48,Odds!G:G,0))</f>
        <v>1</v>
      </c>
      <c r="AB48" s="528" t="str">
        <f>IF(O48="","",INDEX(Odds!H:H,MATCH(O48,Odds!G:G,0)))</f>
        <v/>
      </c>
      <c r="AC48" s="528" t="str">
        <f>IF(INDEX(Table!Q:Q,MATCH(A48,Table!F:F,0))="N","N","")</f>
        <v/>
      </c>
      <c r="AD48" s="58"/>
      <c r="AE48" s="58"/>
      <c r="AF48" s="417"/>
      <c r="AG48" s="58"/>
    </row>
    <row r="49" spans="1:33" ht="13.5" thickBot="1">
      <c r="A49" s="642" t="str">
        <f>A47</f>
        <v>David Dunn</v>
      </c>
      <c r="B49" s="643" t="str">
        <f t="shared" si="1"/>
        <v>Spurs</v>
      </c>
      <c r="C49" s="644">
        <f>IF(J49="","",INDEX(Odds!C:C,MATCH(J49,Odds!G:G,0)))</f>
        <v>7</v>
      </c>
      <c r="D49" s="645">
        <f t="shared" si="2"/>
        <v>2.15</v>
      </c>
      <c r="E49" s="639" t="str">
        <f t="shared" si="3"/>
        <v>√</v>
      </c>
      <c r="F49" s="640"/>
      <c r="G49" s="641"/>
      <c r="H49" s="360"/>
      <c r="I49" s="360"/>
      <c r="J49" s="420" t="s">
        <v>412</v>
      </c>
      <c r="K49" s="657" t="str">
        <f>INDEX(Odds!H:H,MATCH(J49,Odds!G:G,0))</f>
        <v>23/20</v>
      </c>
      <c r="L49" s="658">
        <f>INDEX(Odds!I:I,MATCH(J49,Odds!G:G,0))</f>
        <v>2.15</v>
      </c>
      <c r="M49" s="653">
        <f>INDEX(Odds!J:J,MATCH(J49,Odds!G:G,0))</f>
        <v>1</v>
      </c>
      <c r="N49" s="659">
        <f t="shared" si="4"/>
        <v>2.15</v>
      </c>
      <c r="O49" s="526"/>
      <c r="P49" s="58"/>
      <c r="R49" s="35" t="str">
        <f>IF(Odds!G49="","",Odds!G49)</f>
        <v>Arsenal draw</v>
      </c>
      <c r="S49" s="36" t="str">
        <f>INDEX(Odds!H:H,MATCH(R49,Odds!G:G,0))</f>
        <v>15/4</v>
      </c>
      <c r="T49" s="40">
        <f t="shared" ref="T49:T93" si="6">IF(V3=X3,1,0)</f>
        <v>0</v>
      </c>
      <c r="Y49" s="8">
        <f>INDEX(Odds!K:K,MATCH(J49,Odds!G:G,0))</f>
        <v>1</v>
      </c>
      <c r="AB49" s="529" t="str">
        <f>IF(O49="","",INDEX(Odds!H:H,MATCH(O49,Odds!G:G,0)))</f>
        <v/>
      </c>
      <c r="AC49" s="529" t="str">
        <f>IF(INDEX(Table!Q:Q,MATCH(A49,Table!F:F,0))="N","N","")</f>
        <v/>
      </c>
      <c r="AD49" s="58"/>
      <c r="AE49" s="58"/>
      <c r="AF49" s="417"/>
      <c r="AG49" s="58"/>
    </row>
    <row r="50" spans="1:33" ht="13.9" thickTop="1" thickBot="1">
      <c r="A50" s="629" t="str">
        <f>Results!B50</f>
        <v>Frank Allen</v>
      </c>
      <c r="B50" s="630" t="str">
        <f t="shared" si="1"/>
        <v>Coventry</v>
      </c>
      <c r="C50" s="631">
        <f>IF(J50="","",INDEX(Odds!C:C,MATCH(J50,Odds!G:G,0)))</f>
        <v>7</v>
      </c>
      <c r="D50" s="632">
        <f t="shared" si="2"/>
        <v>1.7272727272727273</v>
      </c>
      <c r="E50" s="633" t="str">
        <f t="shared" si="3"/>
        <v>x</v>
      </c>
      <c r="F50" s="634">
        <f>IF(J50="",-10,INDEX(Results!T:T,MATCH(A50,Results!V:V,0)))</f>
        <v>3.4000000000000004</v>
      </c>
      <c r="G50" s="635">
        <f>IF(J50="","",INDEX(Results!AI:AI,MATCH(A50,Results!V:V,0)))</f>
        <v>23.090909090909093</v>
      </c>
      <c r="H50" s="360" t="str">
        <f>IF(INDEX(Table!Q:Q,MATCH(A50,Table!F:F,0))="N","N","Y")</f>
        <v>Y</v>
      </c>
      <c r="I50" s="359">
        <f>INDEX(Picks!AG:AG,MATCH(A50,Picks!AD:AD,0))</f>
        <v>10</v>
      </c>
      <c r="J50" s="419" t="s">
        <v>537</v>
      </c>
      <c r="K50" s="651" t="str">
        <f>INDEX(Odds!H:H,MATCH(J50,Odds!G:G,0))</f>
        <v>8/11</v>
      </c>
      <c r="L50" s="652">
        <f>INDEX(Odds!I:I,MATCH(J50,Odds!G:G,0))</f>
        <v>1.7272727272727273</v>
      </c>
      <c r="M50" s="660">
        <f>INDEX(Odds!J:J,MATCH(J50,Odds!G:G,0))</f>
        <v>0</v>
      </c>
      <c r="N50" s="654">
        <f t="shared" si="4"/>
        <v>0</v>
      </c>
      <c r="O50" s="525"/>
      <c r="P50" s="58"/>
      <c r="Q50" s="58" t="s">
        <v>179</v>
      </c>
      <c r="R50" s="35" t="str">
        <f>IF(Odds!G50="","",Odds!G50)</f>
        <v>Bournemouth draw</v>
      </c>
      <c r="S50" s="36" t="str">
        <f>INDEX(Odds!H:H,MATCH(R50,Odds!G:G,0))</f>
        <v>5/2</v>
      </c>
      <c r="T50" s="40">
        <f t="shared" si="6"/>
        <v>0</v>
      </c>
      <c r="Y50" s="8">
        <f>INDEX(Odds!K:K,MATCH(J50,Odds!G:G,0))</f>
        <v>1</v>
      </c>
      <c r="AB50" s="528" t="str">
        <f>IF(O50="","",INDEX(Odds!H:H,MATCH(O50,Odds!G:G,0)))</f>
        <v/>
      </c>
      <c r="AC50" s="528" t="str">
        <f>IF(INDEX(Table!Q:Q,MATCH(A50,Table!F:F,0))="N","N","")</f>
        <v/>
      </c>
      <c r="AD50" s="58"/>
      <c r="AE50" s="58"/>
      <c r="AF50" s="417"/>
      <c r="AG50" s="58"/>
    </row>
    <row r="51" spans="1:33">
      <c r="A51" s="636" t="str">
        <f>A50</f>
        <v>Frank Allen</v>
      </c>
      <c r="B51" s="637" t="str">
        <f t="shared" si="1"/>
        <v>Stoke</v>
      </c>
      <c r="C51" s="631">
        <f>IF(J51="","",INDEX(Odds!C:C,MATCH(J51,Odds!G:G,0)))</f>
        <v>7</v>
      </c>
      <c r="D51" s="638">
        <f t="shared" si="2"/>
        <v>3</v>
      </c>
      <c r="E51" s="639" t="str">
        <f t="shared" si="3"/>
        <v>√</v>
      </c>
      <c r="F51" s="640"/>
      <c r="G51" s="641"/>
      <c r="H51" s="360">
        <f>IF(G50="",0,1)</f>
        <v>1</v>
      </c>
      <c r="I51" s="360"/>
      <c r="J51" s="419" t="s">
        <v>599</v>
      </c>
      <c r="K51" s="655" t="str">
        <f>INDEX(Odds!H:H,MATCH(J51,Odds!G:G,0))</f>
        <v>2/1</v>
      </c>
      <c r="L51" s="656">
        <f>INDEX(Odds!I:I,MATCH(J51,Odds!G:G,0))</f>
        <v>3</v>
      </c>
      <c r="M51" s="653">
        <f>INDEX(Odds!J:J,MATCH(J51,Odds!G:G,0))</f>
        <v>1</v>
      </c>
      <c r="N51" s="654">
        <f t="shared" si="4"/>
        <v>3</v>
      </c>
      <c r="O51" s="525"/>
      <c r="P51" s="58"/>
      <c r="R51" s="35" t="str">
        <f>IF(Odds!G51="","",Odds!G51)</f>
        <v>Brentford draw</v>
      </c>
      <c r="S51" s="36" t="str">
        <f>INDEX(Odds!H:H,MATCH(R51,Odds!G:G,0))</f>
        <v>11/4</v>
      </c>
      <c r="T51" s="40">
        <f t="shared" si="6"/>
        <v>1</v>
      </c>
      <c r="Y51" s="8">
        <f>INDEX(Odds!K:K,MATCH(J51,Odds!G:G,0))</f>
        <v>1</v>
      </c>
      <c r="AB51" s="528" t="str">
        <f>IF(O51="","",INDEX(Odds!H:H,MATCH(O51,Odds!G:G,0)))</f>
        <v/>
      </c>
      <c r="AC51" s="528" t="str">
        <f>IF(INDEX(Table!Q:Q,MATCH(A51,Table!F:F,0))="N","N","")</f>
        <v/>
      </c>
      <c r="AD51" s="58"/>
      <c r="AE51" s="58"/>
      <c r="AF51" s="417"/>
      <c r="AG51" s="58"/>
    </row>
    <row r="52" spans="1:33" ht="13.5" thickBot="1">
      <c r="A52" s="642" t="str">
        <f>A50</f>
        <v>Frank Allen</v>
      </c>
      <c r="B52" s="643" t="str">
        <f t="shared" si="1"/>
        <v>Barnsley</v>
      </c>
      <c r="C52" s="644">
        <f>IF(J52="","",INDEX(Odds!C:C,MATCH(J52,Odds!G:G,0)))</f>
        <v>7</v>
      </c>
      <c r="D52" s="645">
        <f t="shared" si="2"/>
        <v>1.85</v>
      </c>
      <c r="E52" s="639" t="str">
        <f t="shared" si="3"/>
        <v>√</v>
      </c>
      <c r="F52" s="640"/>
      <c r="G52" s="641"/>
      <c r="H52" s="360"/>
      <c r="I52" s="360"/>
      <c r="J52" s="420" t="s">
        <v>609</v>
      </c>
      <c r="K52" s="657" t="str">
        <f>INDEX(Odds!H:H,MATCH(J52,Odds!G:G,0))</f>
        <v>17/20</v>
      </c>
      <c r="L52" s="658">
        <f>INDEX(Odds!I:I,MATCH(J52,Odds!G:G,0))</f>
        <v>1.85</v>
      </c>
      <c r="M52" s="653">
        <f>INDEX(Odds!J:J,MATCH(J52,Odds!G:G,0))</f>
        <v>1</v>
      </c>
      <c r="N52" s="659">
        <f t="shared" si="4"/>
        <v>1.85</v>
      </c>
      <c r="O52" s="526"/>
      <c r="P52" s="58"/>
      <c r="R52" s="35" t="str">
        <f>IF(Odds!G52="","",Odds!G52)</f>
        <v>Everton draw</v>
      </c>
      <c r="S52" s="36" t="str">
        <f>INDEX(Odds!H:H,MATCH(R52,Odds!G:G,0))</f>
        <v>11/5</v>
      </c>
      <c r="T52" s="40">
        <f t="shared" si="6"/>
        <v>1</v>
      </c>
      <c r="Y52" s="8">
        <f>INDEX(Odds!K:K,MATCH(J52,Odds!G:G,0))</f>
        <v>1</v>
      </c>
      <c r="AB52" s="529" t="str">
        <f>IF(O52="","",INDEX(Odds!H:H,MATCH(O52,Odds!G:G,0)))</f>
        <v/>
      </c>
      <c r="AC52" s="529" t="str">
        <f>IF(INDEX(Table!Q:Q,MATCH(A52,Table!F:F,0))="N","N","")</f>
        <v/>
      </c>
      <c r="AD52" s="58"/>
      <c r="AE52" s="58"/>
      <c r="AF52" s="417"/>
      <c r="AG52" s="58"/>
    </row>
    <row r="53" spans="1:33" ht="13.9" thickTop="1" thickBot="1">
      <c r="A53" s="629" t="str">
        <f>Results!B53</f>
        <v>Gareth Powell</v>
      </c>
      <c r="B53" s="630" t="str">
        <f t="shared" si="1"/>
        <v>Everton</v>
      </c>
      <c r="C53" s="631">
        <f>IF(J53="","",INDEX(Odds!C:C,MATCH(J53,Odds!G:G,0)))</f>
        <v>7</v>
      </c>
      <c r="D53" s="632">
        <f t="shared" si="2"/>
        <v>2.4500000000000002</v>
      </c>
      <c r="E53" s="633" t="str">
        <f t="shared" si="3"/>
        <v>x</v>
      </c>
      <c r="F53" s="634">
        <f>IF(J53="",-10,INDEX(Results!T:T,MATCH(A53,Results!V:V,0)))</f>
        <v>-4.8499999999999996</v>
      </c>
      <c r="G53" s="635">
        <f>IF(J53="","",INDEX(Results!AI:AI,MATCH(A53,Results!V:V,0)))</f>
        <v>30.036249999999995</v>
      </c>
      <c r="H53" s="360" t="str">
        <f>IF(INDEX(Table!Q:Q,MATCH(A53,Table!F:F,0))="N","N","Y")</f>
        <v>Y</v>
      </c>
      <c r="I53" s="359">
        <f>INDEX(Picks!AG:AG,MATCH(A53,Picks!AD:AD,0))</f>
        <v>27</v>
      </c>
      <c r="J53" s="419" t="s">
        <v>585</v>
      </c>
      <c r="K53" s="651" t="str">
        <f>INDEX(Odds!H:H,MATCH(J53,Odds!G:G,0))</f>
        <v>29/20</v>
      </c>
      <c r="L53" s="652">
        <f>INDEX(Odds!I:I,MATCH(J53,Odds!G:G,0))</f>
        <v>2.4500000000000002</v>
      </c>
      <c r="M53" s="660">
        <f>INDEX(Odds!J:J,MATCH(J53,Odds!G:G,0))</f>
        <v>0</v>
      </c>
      <c r="N53" s="654">
        <f t="shared" si="4"/>
        <v>0</v>
      </c>
      <c r="O53" s="525"/>
      <c r="P53" s="58"/>
      <c r="R53" s="35" t="str">
        <f>IF(Odds!G53="","",Odds!G53)</f>
        <v>Fulham draw</v>
      </c>
      <c r="S53" s="36" t="str">
        <f>INDEX(Odds!H:H,MATCH(R53,Odds!G:G,0))</f>
        <v>13/5</v>
      </c>
      <c r="T53" s="40">
        <f t="shared" si="6"/>
        <v>0</v>
      </c>
      <c r="Y53" s="8">
        <f>INDEX(Odds!K:K,MATCH(J53,Odds!G:G,0))</f>
        <v>1</v>
      </c>
      <c r="AB53" s="528" t="str">
        <f>IF(O53="","",INDEX(Odds!H:H,MATCH(O53,Odds!G:G,0)))</f>
        <v/>
      </c>
      <c r="AC53" s="528" t="str">
        <f>IF(INDEX(Table!Q:Q,MATCH(A53,Table!F:F,0))="N","N","")</f>
        <v/>
      </c>
      <c r="AD53" s="58"/>
      <c r="AE53" s="58"/>
      <c r="AF53" s="417"/>
      <c r="AG53" s="58"/>
    </row>
    <row r="54" spans="1:33">
      <c r="A54" s="636" t="str">
        <f>A53</f>
        <v>Gareth Powell</v>
      </c>
      <c r="B54" s="637" t="str">
        <f t="shared" si="1"/>
        <v>Spurs</v>
      </c>
      <c r="C54" s="631">
        <f>IF(J54="","",INDEX(Odds!C:C,MATCH(J54,Odds!G:G,0)))</f>
        <v>7</v>
      </c>
      <c r="D54" s="638">
        <f t="shared" si="2"/>
        <v>2.15</v>
      </c>
      <c r="E54" s="639" t="str">
        <f t="shared" si="3"/>
        <v>√</v>
      </c>
      <c r="F54" s="640"/>
      <c r="G54" s="641"/>
      <c r="H54" s="360">
        <f>IF(G53="",0,1)</f>
        <v>1</v>
      </c>
      <c r="I54" s="360"/>
      <c r="J54" s="419" t="s">
        <v>412</v>
      </c>
      <c r="K54" s="655" t="str">
        <f>INDEX(Odds!H:H,MATCH(J54,Odds!G:G,0))</f>
        <v>23/20</v>
      </c>
      <c r="L54" s="656">
        <f>INDEX(Odds!I:I,MATCH(J54,Odds!G:G,0))</f>
        <v>2.15</v>
      </c>
      <c r="M54" s="653">
        <f>INDEX(Odds!J:J,MATCH(J54,Odds!G:G,0))</f>
        <v>1</v>
      </c>
      <c r="N54" s="654">
        <f t="shared" si="4"/>
        <v>2.15</v>
      </c>
      <c r="O54" s="525"/>
      <c r="P54" s="58"/>
      <c r="R54" s="35" t="str">
        <f>IF(Odds!G54="","",Odds!G54)</f>
        <v>Newcastle draw</v>
      </c>
      <c r="S54" s="36" t="str">
        <f>INDEX(Odds!H:H,MATCH(R54,Odds!G:G,0))</f>
        <v>7/2</v>
      </c>
      <c r="T54" s="40">
        <f t="shared" si="6"/>
        <v>0</v>
      </c>
      <c r="Y54" s="8">
        <f>INDEX(Odds!K:K,MATCH(J54,Odds!G:G,0))</f>
        <v>1</v>
      </c>
      <c r="AB54" s="528" t="str">
        <f>IF(O54="","",INDEX(Odds!H:H,MATCH(O54,Odds!G:G,0)))</f>
        <v/>
      </c>
      <c r="AC54" s="528" t="str">
        <f>IF(INDEX(Table!Q:Q,MATCH(A54,Table!F:F,0))="N","N","")</f>
        <v/>
      </c>
      <c r="AD54" s="58"/>
      <c r="AE54" s="58"/>
      <c r="AF54" s="417"/>
      <c r="AG54" s="58"/>
    </row>
    <row r="55" spans="1:33" ht="13.5" thickBot="1">
      <c r="A55" s="642" t="str">
        <f>A53</f>
        <v>Gareth Powell</v>
      </c>
      <c r="B55" s="643" t="str">
        <f t="shared" si="1"/>
        <v>Cardiff</v>
      </c>
      <c r="C55" s="644">
        <f>IF(J55="","",INDEX(Odds!C:C,MATCH(J55,Odds!G:G,0)))</f>
        <v>7</v>
      </c>
      <c r="D55" s="645">
        <f t="shared" si="2"/>
        <v>2.5</v>
      </c>
      <c r="E55" s="639" t="str">
        <f t="shared" si="3"/>
        <v>x</v>
      </c>
      <c r="F55" s="640"/>
      <c r="G55" s="641"/>
      <c r="H55" s="360"/>
      <c r="I55" s="360"/>
      <c r="J55" s="420" t="s">
        <v>617</v>
      </c>
      <c r="K55" s="657" t="str">
        <f>INDEX(Odds!H:H,MATCH(J55,Odds!G:G,0))</f>
        <v>6/4</v>
      </c>
      <c r="L55" s="658">
        <f>INDEX(Odds!I:I,MATCH(J55,Odds!G:G,0))</f>
        <v>2.5</v>
      </c>
      <c r="M55" s="653">
        <f>INDEX(Odds!J:J,MATCH(J55,Odds!G:G,0))</f>
        <v>0</v>
      </c>
      <c r="N55" s="659">
        <f t="shared" si="4"/>
        <v>0</v>
      </c>
      <c r="O55" s="526"/>
      <c r="P55" s="58"/>
      <c r="R55" s="35" t="str">
        <f>IF(Odds!G55="","",Odds!G55)</f>
        <v>Palace draw</v>
      </c>
      <c r="S55" s="36" t="str">
        <f>INDEX(Odds!H:H,MATCH(R55,Odds!G:G,0))</f>
        <v>14/5</v>
      </c>
      <c r="T55" s="40">
        <f t="shared" si="6"/>
        <v>1</v>
      </c>
      <c r="Y55" s="8">
        <f>INDEX(Odds!K:K,MATCH(J55,Odds!G:G,0))</f>
        <v>1</v>
      </c>
      <c r="AB55" s="529" t="str">
        <f>IF(O55="","",INDEX(Odds!H:H,MATCH(O55,Odds!G:G,0)))</f>
        <v/>
      </c>
      <c r="AC55" s="529" t="str">
        <f>IF(INDEX(Table!Q:Q,MATCH(A55,Table!F:F,0))="N","N","")</f>
        <v/>
      </c>
      <c r="AD55" s="58"/>
      <c r="AE55" s="58"/>
      <c r="AF55" s="417"/>
      <c r="AG55" s="58"/>
    </row>
    <row r="56" spans="1:33" ht="13.9" thickTop="1" thickBot="1">
      <c r="A56" s="629" t="str">
        <f>Results!B56</f>
        <v>Gerard Ventom</v>
      </c>
      <c r="B56" s="630" t="str">
        <f t="shared" si="1"/>
        <v>Bournemouth draw</v>
      </c>
      <c r="C56" s="631">
        <f>IF(J56="","",INDEX(Odds!C:C,MATCH(J56,Odds!G:G,0)))</f>
        <v>7</v>
      </c>
      <c r="D56" s="632">
        <f t="shared" si="2"/>
        <v>3.5</v>
      </c>
      <c r="E56" s="633" t="str">
        <f t="shared" si="3"/>
        <v>x</v>
      </c>
      <c r="F56" s="634">
        <f>IF(J56="",-10,INDEX(Results!T:T,MATCH(A56,Results!V:V,0)))</f>
        <v>7.120000000000001</v>
      </c>
      <c r="G56" s="635">
        <f>IF(J56="","",INDEX(Results!AI:AI,MATCH(A56,Results!V:V,0)))</f>
        <v>60.040000000000006</v>
      </c>
      <c r="H56" s="360" t="str">
        <f>IF(INDEX(Table!Q:Q,MATCH(A56,Table!F:F,0))="N","N","Y")</f>
        <v>Y</v>
      </c>
      <c r="I56" s="359">
        <f>INDEX(Picks!AG:AG,MATCH(A56,Picks!AD:AD,0))</f>
        <v>6</v>
      </c>
      <c r="J56" s="419" t="s">
        <v>637</v>
      </c>
      <c r="K56" s="651" t="str">
        <f>INDEX(Odds!H:H,MATCH(J56,Odds!G:G,0))</f>
        <v>5/2</v>
      </c>
      <c r="L56" s="652">
        <f>INDEX(Odds!I:I,MATCH(J56,Odds!G:G,0))</f>
        <v>3.5</v>
      </c>
      <c r="M56" s="660">
        <f>INDEX(Odds!J:J,MATCH(J56,Odds!G:G,0))</f>
        <v>0</v>
      </c>
      <c r="N56" s="654">
        <f t="shared" si="4"/>
        <v>0</v>
      </c>
      <c r="O56" s="525"/>
      <c r="P56" s="58"/>
      <c r="R56" s="35" t="str">
        <f>IF(Odds!G56="","",Odds!G56)</f>
        <v>West Ham draw</v>
      </c>
      <c r="S56" s="36" t="str">
        <f>INDEX(Odds!H:H,MATCH(R56,Odds!G:G,0))</f>
        <v>12/5</v>
      </c>
      <c r="T56" s="40">
        <f t="shared" si="6"/>
        <v>0</v>
      </c>
      <c r="Y56" s="8">
        <f>INDEX(Odds!K:K,MATCH(J56,Odds!G:G,0))</f>
        <v>1</v>
      </c>
      <c r="AB56" s="528" t="str">
        <f>IF(O56="","",INDEX(Odds!H:H,MATCH(O56,Odds!G:G,0)))</f>
        <v/>
      </c>
      <c r="AC56" s="528" t="str">
        <f>IF(INDEX(Table!Q:Q,MATCH(A56,Table!F:F,0))="N","N","")</f>
        <v/>
      </c>
      <c r="AD56" s="58"/>
      <c r="AE56" s="58"/>
      <c r="AF56" s="417"/>
      <c r="AG56" s="58"/>
    </row>
    <row r="57" spans="1:33">
      <c r="A57" s="636" t="str">
        <f>A56</f>
        <v>Gerard Ventom</v>
      </c>
      <c r="B57" s="637" t="str">
        <f t="shared" si="1"/>
        <v>Preston draw</v>
      </c>
      <c r="C57" s="631">
        <f>IF(J57="","",INDEX(Odds!C:C,MATCH(J57,Odds!G:G,0)))</f>
        <v>7</v>
      </c>
      <c r="D57" s="638">
        <f t="shared" si="2"/>
        <v>3.2</v>
      </c>
      <c r="E57" s="639" t="str">
        <f t="shared" si="3"/>
        <v>√</v>
      </c>
      <c r="F57" s="640"/>
      <c r="G57" s="641"/>
      <c r="H57" s="360">
        <f>IF(G56="",0,1)</f>
        <v>1</v>
      </c>
      <c r="I57" s="360"/>
      <c r="J57" s="419" t="s">
        <v>645</v>
      </c>
      <c r="K57" s="655" t="str">
        <f>INDEX(Odds!H:H,MATCH(J57,Odds!G:G,0))</f>
        <v>11/5</v>
      </c>
      <c r="L57" s="656">
        <f>INDEX(Odds!I:I,MATCH(J57,Odds!G:G,0))</f>
        <v>3.2</v>
      </c>
      <c r="M57" s="653">
        <f>INDEX(Odds!J:J,MATCH(J57,Odds!G:G,0))</f>
        <v>1</v>
      </c>
      <c r="N57" s="654">
        <f t="shared" si="4"/>
        <v>3.2</v>
      </c>
      <c r="O57" s="525"/>
      <c r="P57" s="58"/>
      <c r="R57" s="35" t="str">
        <f>IF(Odds!G57="","",Odds!G57)</f>
        <v>Charlton draw</v>
      </c>
      <c r="S57" s="36" t="str">
        <f>INDEX(Odds!H:H,MATCH(R57,Odds!G:G,0))</f>
        <v>21/10</v>
      </c>
      <c r="T57" s="40">
        <f t="shared" si="6"/>
        <v>1</v>
      </c>
      <c r="Y57" s="8">
        <f>INDEX(Odds!K:K,MATCH(J57,Odds!G:G,0))</f>
        <v>1</v>
      </c>
      <c r="AB57" s="528" t="str">
        <f>IF(O57="","",INDEX(Odds!H:H,MATCH(O57,Odds!G:G,0)))</f>
        <v/>
      </c>
      <c r="AC57" s="528" t="str">
        <f>IF(INDEX(Table!Q:Q,MATCH(A57,Table!F:F,0))="N","N","")</f>
        <v/>
      </c>
      <c r="AD57" s="58"/>
      <c r="AE57" s="58"/>
      <c r="AF57" s="417"/>
      <c r="AG57" s="58"/>
    </row>
    <row r="58" spans="1:33" ht="13.5" thickBot="1">
      <c r="A58" s="642" t="str">
        <f>A56</f>
        <v>Gerard Ventom</v>
      </c>
      <c r="B58" s="643" t="str">
        <f t="shared" si="1"/>
        <v>Wigan</v>
      </c>
      <c r="C58" s="644">
        <f>IF(J58="","",INDEX(Odds!C:C,MATCH(J58,Odds!G:G,0)))</f>
        <v>7</v>
      </c>
      <c r="D58" s="645">
        <f t="shared" si="2"/>
        <v>2.6</v>
      </c>
      <c r="E58" s="639" t="str">
        <f t="shared" si="3"/>
        <v>√</v>
      </c>
      <c r="F58" s="640"/>
      <c r="G58" s="641"/>
      <c r="H58" s="360"/>
      <c r="I58" s="360"/>
      <c r="J58" s="420" t="s">
        <v>339</v>
      </c>
      <c r="K58" s="657" t="str">
        <f>INDEX(Odds!H:H,MATCH(J58,Odds!G:G,0))</f>
        <v>8/5</v>
      </c>
      <c r="L58" s="658">
        <f>INDEX(Odds!I:I,MATCH(J58,Odds!G:G,0))</f>
        <v>2.6</v>
      </c>
      <c r="M58" s="653">
        <f>INDEX(Odds!J:J,MATCH(J58,Odds!G:G,0))</f>
        <v>1</v>
      </c>
      <c r="N58" s="659">
        <f t="shared" si="4"/>
        <v>2.6</v>
      </c>
      <c r="O58" s="526"/>
      <c r="P58" s="58"/>
      <c r="R58" s="35" t="str">
        <f>IF(Odds!G58="","",Odds!G58)</f>
        <v>Coventry draw</v>
      </c>
      <c r="S58" s="36" t="str">
        <f>INDEX(Odds!H:H,MATCH(R58,Odds!G:G,0))</f>
        <v>27/10</v>
      </c>
      <c r="T58" s="40">
        <f t="shared" si="6"/>
        <v>1</v>
      </c>
      <c r="Y58" s="8">
        <f>INDEX(Odds!K:K,MATCH(J58,Odds!G:G,0))</f>
        <v>1</v>
      </c>
      <c r="AB58" s="529" t="str">
        <f>IF(O58="","",INDEX(Odds!H:H,MATCH(O58,Odds!G:G,0)))</f>
        <v/>
      </c>
      <c r="AC58" s="529" t="str">
        <f>IF(INDEX(Table!Q:Q,MATCH(A58,Table!F:F,0))="N","N","")</f>
        <v/>
      </c>
      <c r="AD58" s="58"/>
      <c r="AE58" s="58"/>
      <c r="AF58" s="417"/>
      <c r="AG58" s="58"/>
    </row>
    <row r="59" spans="1:33" ht="13.9" thickTop="1" thickBot="1">
      <c r="A59" s="629" t="str">
        <f>Results!B59</f>
        <v>Graham Miller</v>
      </c>
      <c r="B59" s="630" t="str">
        <f t="shared" si="1"/>
        <v>Leeds</v>
      </c>
      <c r="C59" s="631">
        <f>IF(J59="","",INDEX(Odds!C:C,MATCH(J59,Odds!G:G,0)))</f>
        <v>7</v>
      </c>
      <c r="D59" s="632">
        <f t="shared" si="2"/>
        <v>3.9</v>
      </c>
      <c r="E59" s="633" t="str">
        <f t="shared" si="3"/>
        <v>x</v>
      </c>
      <c r="F59" s="634">
        <f>IF(J59="",-10,INDEX(Results!T:T,MATCH(A59,Results!V:V,0)))</f>
        <v>-7</v>
      </c>
      <c r="G59" s="635">
        <f>IF(J59="","",INDEX(Results!AI:AI,MATCH(A59,Results!V:V,0)))</f>
        <v>197.79999999999995</v>
      </c>
      <c r="H59" s="360" t="str">
        <f>IF(INDEX(Table!Q:Q,MATCH(A59,Table!F:F,0))="N","N","Y")</f>
        <v>Y</v>
      </c>
      <c r="I59" s="359">
        <f>INDEX(Picks!AG:AG,MATCH(A59,Picks!AD:AD,0))</f>
        <v>36</v>
      </c>
      <c r="J59" s="419" t="s">
        <v>587</v>
      </c>
      <c r="K59" s="651" t="str">
        <f>INDEX(Odds!H:H,MATCH(J59,Odds!G:G,0))</f>
        <v>29/10</v>
      </c>
      <c r="L59" s="652">
        <f>INDEX(Odds!I:I,MATCH(J59,Odds!G:G,0))</f>
        <v>3.9</v>
      </c>
      <c r="M59" s="660">
        <f>INDEX(Odds!J:J,MATCH(J59,Odds!G:G,0))</f>
        <v>0</v>
      </c>
      <c r="N59" s="654">
        <f t="shared" si="4"/>
        <v>0</v>
      </c>
      <c r="O59" s="525"/>
      <c r="P59" s="58"/>
      <c r="R59" s="35" t="str">
        <f>IF(Odds!G59="","",Odds!G59)</f>
        <v>Oxford draw</v>
      </c>
      <c r="S59" s="36" t="str">
        <f>INDEX(Odds!H:H,MATCH(R59,Odds!G:G,0))</f>
        <v>12/5</v>
      </c>
      <c r="T59" s="40">
        <f t="shared" si="6"/>
        <v>1</v>
      </c>
      <c r="Y59" s="8">
        <f>INDEX(Odds!K:K,MATCH(J59,Odds!G:G,0))</f>
        <v>1</v>
      </c>
      <c r="AB59" s="528" t="str">
        <f>IF(O59="","",INDEX(Odds!H:H,MATCH(O59,Odds!G:G,0)))</f>
        <v/>
      </c>
      <c r="AC59" s="528" t="str">
        <f>IF(INDEX(Table!Q:Q,MATCH(A59,Table!F:F,0))="N","N","")</f>
        <v/>
      </c>
      <c r="AD59" s="58"/>
      <c r="AE59" s="58"/>
      <c r="AF59" s="417"/>
      <c r="AG59" s="58"/>
    </row>
    <row r="60" spans="1:33">
      <c r="A60" s="636" t="str">
        <f>A59</f>
        <v>Graham Miller</v>
      </c>
      <c r="B60" s="637" t="str">
        <f>IF(J60="","",J60)</f>
        <v>Wolves</v>
      </c>
      <c r="C60" s="631">
        <f>IF(J60="","",INDEX(Odds!C:C,MATCH(J60,Odds!G:G,0)))</f>
        <v>7</v>
      </c>
      <c r="D60" s="638">
        <f t="shared" si="2"/>
        <v>6.5</v>
      </c>
      <c r="E60" s="639" t="str">
        <f t="shared" si="3"/>
        <v>x</v>
      </c>
      <c r="F60" s="640"/>
      <c r="G60" s="641"/>
      <c r="H60" s="360">
        <f>IF(G59="",0,1)</f>
        <v>1</v>
      </c>
      <c r="I60" s="360"/>
      <c r="J60" s="419" t="s">
        <v>589</v>
      </c>
      <c r="K60" s="655" t="str">
        <f>INDEX(Odds!H:H,MATCH(J60,Odds!G:G,0))</f>
        <v>11/2</v>
      </c>
      <c r="L60" s="656">
        <f>INDEX(Odds!I:I,MATCH(J60,Odds!G:G,0))</f>
        <v>6.5</v>
      </c>
      <c r="M60" s="653">
        <f>INDEX(Odds!J:J,MATCH(J60,Odds!G:G,0))</f>
        <v>0</v>
      </c>
      <c r="N60" s="654">
        <f t="shared" si="4"/>
        <v>0</v>
      </c>
      <c r="O60" s="525"/>
      <c r="P60" s="58"/>
      <c r="R60" s="35" t="str">
        <f>IF(Odds!G60="","",Odds!G60)</f>
        <v>Preston draw</v>
      </c>
      <c r="S60" s="36" t="str">
        <f>INDEX(Odds!H:H,MATCH(R60,Odds!G:G,0))</f>
        <v>11/5</v>
      </c>
      <c r="T60" s="40">
        <f t="shared" si="6"/>
        <v>1</v>
      </c>
      <c r="Y60" s="8">
        <f>INDEX(Odds!K:K,MATCH(J60,Odds!G:G,0))</f>
        <v>1</v>
      </c>
      <c r="AB60" s="528" t="str">
        <f>IF(O60="","",INDEX(Odds!H:H,MATCH(O60,Odds!G:G,0)))</f>
        <v/>
      </c>
      <c r="AC60" s="528" t="str">
        <f>IF(INDEX(Table!Q:Q,MATCH(A60,Table!F:F,0))="N","N","")</f>
        <v/>
      </c>
      <c r="AD60" s="58"/>
      <c r="AE60" s="58"/>
      <c r="AF60" s="417"/>
      <c r="AG60" s="58"/>
    </row>
    <row r="61" spans="1:33" ht="13.5" thickBot="1">
      <c r="A61" s="642" t="str">
        <f>A59</f>
        <v>Graham Miller</v>
      </c>
      <c r="B61" s="643" t="str">
        <f t="shared" ref="B61:B106" si="7">IF(J61="","",J61)</f>
        <v>Man U</v>
      </c>
      <c r="C61" s="644">
        <f>IF(J61="","",INDEX(Odds!C:C,MATCH(J61,Odds!G:G,0)))</f>
        <v>1</v>
      </c>
      <c r="D61" s="645">
        <f t="shared" ref="D61:D106" si="8">IF(J61="","",L61)</f>
        <v>4.5999999999999996</v>
      </c>
      <c r="E61" s="639" t="str">
        <f t="shared" si="3"/>
        <v>x</v>
      </c>
      <c r="F61" s="640"/>
      <c r="G61" s="641"/>
      <c r="H61" s="360"/>
      <c r="I61" s="360"/>
      <c r="J61" s="420" t="s">
        <v>634</v>
      </c>
      <c r="K61" s="657" t="str">
        <f>INDEX(Odds!H:H,MATCH(J61,Odds!G:G,0))</f>
        <v>18/5</v>
      </c>
      <c r="L61" s="658">
        <f>INDEX(Odds!I:I,MATCH(J61,Odds!G:G,0))</f>
        <v>4.5999999999999996</v>
      </c>
      <c r="M61" s="653">
        <f>INDEX(Odds!J:J,MATCH(J61,Odds!G:G,0))</f>
        <v>0</v>
      </c>
      <c r="N61" s="659">
        <f t="shared" si="4"/>
        <v>0</v>
      </c>
      <c r="O61" s="526"/>
      <c r="P61" s="58"/>
      <c r="R61" s="35" t="str">
        <f>IF(Odds!G61="","",Odds!G61)</f>
        <v>Sheff W draw</v>
      </c>
      <c r="S61" s="36" t="str">
        <f>INDEX(Odds!H:H,MATCH(R61,Odds!G:G,0))</f>
        <v>23/10</v>
      </c>
      <c r="T61" s="40">
        <f t="shared" si="6"/>
        <v>0</v>
      </c>
      <c r="Y61" s="8">
        <f>INDEX(Odds!K:K,MATCH(J61,Odds!G:G,0))</f>
        <v>1</v>
      </c>
      <c r="AB61" s="529" t="str">
        <f>IF(O61="","",INDEX(Odds!H:H,MATCH(O61,Odds!G:G,0)))</f>
        <v/>
      </c>
      <c r="AC61" s="529" t="str">
        <f>IF(INDEX(Table!Q:Q,MATCH(A61,Table!F:F,0))="N","N","")</f>
        <v/>
      </c>
      <c r="AD61" s="58"/>
      <c r="AE61" s="58"/>
      <c r="AF61" s="417"/>
      <c r="AG61" s="58"/>
    </row>
    <row r="62" spans="1:33" ht="13.9" thickTop="1" thickBot="1">
      <c r="A62" s="629" t="str">
        <f>Results!B62</f>
        <v>Howard Bradley</v>
      </c>
      <c r="B62" s="630" t="str">
        <f t="shared" si="7"/>
        <v>West Brom</v>
      </c>
      <c r="C62" s="631">
        <f>IF(J62="","",INDEX(Odds!C:C,MATCH(J62,Odds!G:G,0)))</f>
        <v>7</v>
      </c>
      <c r="D62" s="632">
        <f t="shared" si="8"/>
        <v>1.8</v>
      </c>
      <c r="E62" s="633" t="str">
        <f t="shared" si="3"/>
        <v>x</v>
      </c>
      <c r="F62" s="634">
        <f>IF(J62="",-10,INDEX(Results!T:T,MATCH(A62,Results!V:V,0)))</f>
        <v>-7</v>
      </c>
      <c r="G62" s="635">
        <f>IF(J62="","",INDEX(Results!AI:AI,MATCH(A62,Results!V:V,0)))</f>
        <v>20.927500000000002</v>
      </c>
      <c r="H62" s="360" t="str">
        <f>IF(INDEX(Table!Q:Q,MATCH(A62,Table!F:F,0))="N","N","Y")</f>
        <v>Y</v>
      </c>
      <c r="I62" s="359">
        <f>INDEX(Picks!AG:AG,MATCH(A62,Picks!AD:AD,0))</f>
        <v>36</v>
      </c>
      <c r="J62" s="419" t="s">
        <v>605</v>
      </c>
      <c r="K62" s="651" t="str">
        <f>INDEX(Odds!H:H,MATCH(J62,Odds!G:G,0))</f>
        <v>4/5</v>
      </c>
      <c r="L62" s="652">
        <f>INDEX(Odds!I:I,MATCH(J62,Odds!G:G,0))</f>
        <v>1.8</v>
      </c>
      <c r="M62" s="660">
        <f>INDEX(Odds!J:J,MATCH(J62,Odds!G:G,0))</f>
        <v>0</v>
      </c>
      <c r="N62" s="654">
        <f t="shared" ref="N62:N94" si="9">L62*M62</f>
        <v>0</v>
      </c>
      <c r="O62" s="525"/>
      <c r="P62" s="58"/>
      <c r="R62" s="35" t="str">
        <f>IF(Odds!G62="","",Odds!G62)</f>
        <v>Stoke draw</v>
      </c>
      <c r="S62" s="36" t="str">
        <f>INDEX(Odds!H:H,MATCH(R62,Odds!G:G,0))</f>
        <v>21/10</v>
      </c>
      <c r="T62" s="40">
        <f t="shared" si="6"/>
        <v>0</v>
      </c>
      <c r="Y62" s="8">
        <f>INDEX(Odds!K:K,MATCH(J62,Odds!G:G,0))</f>
        <v>1</v>
      </c>
      <c r="AB62" s="528" t="str">
        <f>IF(O62="","",INDEX(Odds!H:H,MATCH(O62,Odds!G:G,0)))</f>
        <v/>
      </c>
      <c r="AC62" s="528" t="str">
        <f>IF(INDEX(Table!Q:Q,MATCH(A62,Table!F:F,0))="N","N","")</f>
        <v/>
      </c>
      <c r="AD62" s="58"/>
      <c r="AE62" s="58"/>
      <c r="AF62" s="417"/>
      <c r="AG62" s="58"/>
    </row>
    <row r="63" spans="1:33">
      <c r="A63" s="636" t="str">
        <f>A62</f>
        <v>Howard Bradley</v>
      </c>
      <c r="B63" s="637" t="str">
        <f>IF(J63="","",J63)</f>
        <v>Wrexham</v>
      </c>
      <c r="C63" s="631">
        <f>IF(J63="","",INDEX(Odds!C:C,MATCH(J63,Odds!G:G,0)))</f>
        <v>7</v>
      </c>
      <c r="D63" s="638">
        <f>IF(J63="","",L63)</f>
        <v>1.85</v>
      </c>
      <c r="E63" s="639" t="str">
        <f>IF(J63="","",IF(M63=1,"√","x"))</f>
        <v>x</v>
      </c>
      <c r="F63" s="640"/>
      <c r="G63" s="641"/>
      <c r="H63" s="360">
        <f>IF(G62="",0,1)</f>
        <v>1</v>
      </c>
      <c r="I63" s="360"/>
      <c r="J63" s="419" t="s">
        <v>543</v>
      </c>
      <c r="K63" s="655" t="str">
        <f>INDEX(Odds!H:H,MATCH(J63,Odds!G:G,0))</f>
        <v>17/20</v>
      </c>
      <c r="L63" s="656">
        <f>INDEX(Odds!I:I,MATCH(J63,Odds!G:G,0))</f>
        <v>1.85</v>
      </c>
      <c r="M63" s="653">
        <f>INDEX(Odds!J:J,MATCH(J63,Odds!G:G,0))</f>
        <v>0</v>
      </c>
      <c r="N63" s="654">
        <f t="shared" si="9"/>
        <v>0</v>
      </c>
      <c r="O63" s="525"/>
      <c r="P63" s="58"/>
      <c r="R63" s="35" t="str">
        <f>IF(Odds!G63="","",Odds!G63)</f>
        <v>Swansea draw</v>
      </c>
      <c r="S63" s="36" t="str">
        <f>INDEX(Odds!H:H,MATCH(R63,Odds!G:G,0))</f>
        <v>12/5</v>
      </c>
      <c r="T63" s="40">
        <f t="shared" si="6"/>
        <v>1</v>
      </c>
      <c r="Y63" s="8">
        <f>INDEX(Odds!K:K,MATCH(J63,Odds!G:G,0))</f>
        <v>1</v>
      </c>
      <c r="AB63" s="528" t="str">
        <f>IF(O63="","",INDEX(Odds!H:H,MATCH(O63,Odds!G:G,0)))</f>
        <v/>
      </c>
      <c r="AC63" s="528" t="str">
        <f>IF(INDEX(Table!Q:Q,MATCH(A63,Table!F:F,0))="N","N","")</f>
        <v/>
      </c>
      <c r="AD63" s="58"/>
      <c r="AE63" s="58"/>
      <c r="AF63" s="417"/>
      <c r="AG63" s="58"/>
    </row>
    <row r="64" spans="1:33" ht="13.5" thickBot="1">
      <c r="A64" s="642" t="str">
        <f>A62</f>
        <v>Howard Bradley</v>
      </c>
      <c r="B64" s="643" t="str">
        <f t="shared" si="7"/>
        <v>Blackpool</v>
      </c>
      <c r="C64" s="644">
        <f>IF(J64="","",INDEX(Odds!C:C,MATCH(J64,Odds!G:G,0)))</f>
        <v>7</v>
      </c>
      <c r="D64" s="645">
        <f t="shared" si="8"/>
        <v>2.625</v>
      </c>
      <c r="E64" s="639" t="str">
        <f t="shared" si="3"/>
        <v>x</v>
      </c>
      <c r="F64" s="640"/>
      <c r="G64" s="641"/>
      <c r="H64" s="360"/>
      <c r="I64" s="360"/>
      <c r="J64" s="420" t="s">
        <v>615</v>
      </c>
      <c r="K64" s="657" t="str">
        <f>INDEX(Odds!H:H,MATCH(J64,Odds!G:G,0))</f>
        <v>13/8</v>
      </c>
      <c r="L64" s="658">
        <f>INDEX(Odds!I:I,MATCH(J64,Odds!G:G,0))</f>
        <v>2.625</v>
      </c>
      <c r="M64" s="653">
        <f>INDEX(Odds!J:J,MATCH(J64,Odds!G:G,0))</f>
        <v>0</v>
      </c>
      <c r="N64" s="659">
        <f t="shared" si="9"/>
        <v>0</v>
      </c>
      <c r="O64" s="526"/>
      <c r="P64" s="58"/>
      <c r="R64" s="35" t="str">
        <f>IF(Odds!G64="","",Odds!G64)</f>
        <v>Watford draw</v>
      </c>
      <c r="S64" s="36" t="str">
        <f>INDEX(Odds!H:H,MATCH(R64,Odds!G:G,0))</f>
        <v>11/5</v>
      </c>
      <c r="T64" s="40">
        <f t="shared" si="6"/>
        <v>0</v>
      </c>
      <c r="Y64" s="8">
        <f>INDEX(Odds!K:K,MATCH(J64,Odds!G:G,0))</f>
        <v>1</v>
      </c>
      <c r="AB64" s="529" t="str">
        <f>IF(O64="","",INDEX(Odds!H:H,MATCH(O64,Odds!G:G,0)))</f>
        <v/>
      </c>
      <c r="AC64" s="529" t="str">
        <f>IF(INDEX(Table!Q:Q,MATCH(A64,Table!F:F,0))="N","N","")</f>
        <v/>
      </c>
      <c r="AD64" s="58"/>
      <c r="AE64" s="58"/>
      <c r="AF64" s="417"/>
      <c r="AG64" s="58"/>
    </row>
    <row r="65" spans="1:33" ht="13.9" thickTop="1" thickBot="1">
      <c r="A65" s="629" t="str">
        <f>Results!B65</f>
        <v>Jack Walsh</v>
      </c>
      <c r="B65" s="630" t="str">
        <f t="shared" si="7"/>
        <v>Palace</v>
      </c>
      <c r="C65" s="631">
        <f>IF(J65="","",INDEX(Odds!C:C,MATCH(J65,Odds!G:G,0)))</f>
        <v>7</v>
      </c>
      <c r="D65" s="632">
        <f t="shared" si="8"/>
        <v>1.6153846153846154</v>
      </c>
      <c r="E65" s="633" t="str">
        <f t="shared" si="3"/>
        <v>x</v>
      </c>
      <c r="F65" s="634">
        <f>IF(J65="",-10,INDEX(Results!T:T,MATCH(A65,Results!V:V,0)))</f>
        <v>-5.7</v>
      </c>
      <c r="G65" s="635">
        <f>IF(J65="","",INDEX(Results!AI:AI,MATCH(A65,Results!V:V,0)))</f>
        <v>12.753076923076925</v>
      </c>
      <c r="H65" s="360" t="str">
        <f>IF(INDEX(Table!Q:Q,MATCH(A65,Table!F:F,0))="N","N","Y")</f>
        <v>Y</v>
      </c>
      <c r="I65" s="359">
        <f>INDEX(Picks!AG:AG,MATCH(A65,Picks!AD:AD,0))</f>
        <v>35</v>
      </c>
      <c r="J65" s="419" t="s">
        <v>590</v>
      </c>
      <c r="K65" s="651" t="str">
        <f>INDEX(Odds!H:H,MATCH(J65,Odds!G:G,0))</f>
        <v>8/13</v>
      </c>
      <c r="L65" s="652">
        <f>INDEX(Odds!I:I,MATCH(J65,Odds!G:G,0))</f>
        <v>1.6153846153846154</v>
      </c>
      <c r="M65" s="660">
        <f>INDEX(Odds!J:J,MATCH(J65,Odds!G:G,0))</f>
        <v>0</v>
      </c>
      <c r="N65" s="654">
        <f t="shared" si="9"/>
        <v>0</v>
      </c>
      <c r="O65" s="525"/>
      <c r="P65" s="58"/>
      <c r="R65" s="35" t="str">
        <f>IF(Odds!G65="","",Odds!G65)</f>
        <v>West Brom draw</v>
      </c>
      <c r="S65" s="36" t="str">
        <f>INDEX(Odds!H:H,MATCH(R65,Odds!G:G,0))</f>
        <v>12/5</v>
      </c>
      <c r="T65" s="40">
        <f t="shared" si="6"/>
        <v>0</v>
      </c>
      <c r="Y65" s="8">
        <f>INDEX(Odds!K:K,MATCH(J65,Odds!G:G,0))</f>
        <v>1</v>
      </c>
      <c r="AB65" s="528" t="str">
        <f>IF(O65="","",INDEX(Odds!H:H,MATCH(O65,Odds!G:G,0)))</f>
        <v/>
      </c>
      <c r="AC65" s="528" t="str">
        <f>IF(INDEX(Table!Q:Q,MATCH(A65,Table!F:F,0))="N","N","")</f>
        <v/>
      </c>
      <c r="AD65" s="58"/>
      <c r="AE65" s="58"/>
      <c r="AF65" s="417"/>
      <c r="AG65" s="58"/>
    </row>
    <row r="66" spans="1:33">
      <c r="A66" s="636" t="str">
        <f>A65</f>
        <v>Jack Walsh</v>
      </c>
      <c r="B66" s="637" t="str">
        <f t="shared" si="7"/>
        <v>Everton</v>
      </c>
      <c r="C66" s="631">
        <f>IF(J66="","",INDEX(Odds!C:C,MATCH(J66,Odds!G:G,0)))</f>
        <v>7</v>
      </c>
      <c r="D66" s="638">
        <f t="shared" si="8"/>
        <v>2.4500000000000002</v>
      </c>
      <c r="E66" s="639" t="str">
        <f t="shared" si="3"/>
        <v>x</v>
      </c>
      <c r="F66" s="640"/>
      <c r="G66" s="641"/>
      <c r="H66" s="360">
        <f>IF(G65="",0,1)</f>
        <v>1</v>
      </c>
      <c r="I66" s="360"/>
      <c r="J66" s="419" t="s">
        <v>585</v>
      </c>
      <c r="K66" s="655" t="str">
        <f>INDEX(Odds!H:H,MATCH(J66,Odds!G:G,0))</f>
        <v>29/20</v>
      </c>
      <c r="L66" s="656">
        <f>INDEX(Odds!I:I,MATCH(J66,Odds!G:G,0))</f>
        <v>2.4500000000000002</v>
      </c>
      <c r="M66" s="653">
        <f>INDEX(Odds!J:J,MATCH(J66,Odds!G:G,0))</f>
        <v>0</v>
      </c>
      <c r="N66" s="654">
        <f t="shared" si="9"/>
        <v>0</v>
      </c>
      <c r="O66" s="525"/>
      <c r="P66" s="58"/>
      <c r="R66" s="35" t="str">
        <f>IF(Odds!G66="","",Odds!G66)</f>
        <v>Wrexham draw</v>
      </c>
      <c r="S66" s="36" t="str">
        <f>INDEX(Odds!H:H,MATCH(R66,Odds!G:G,0))</f>
        <v>23/10</v>
      </c>
      <c r="T66" s="40">
        <f t="shared" si="6"/>
        <v>0</v>
      </c>
      <c r="Y66" s="8">
        <f>INDEX(Odds!K:K,MATCH(J66,Odds!G:G,0))</f>
        <v>1</v>
      </c>
      <c r="AB66" s="528" t="str">
        <f>IF(O66="","",INDEX(Odds!H:H,MATCH(O66,Odds!G:G,0)))</f>
        <v/>
      </c>
      <c r="AC66" s="528" t="str">
        <f>IF(INDEX(Table!Q:Q,MATCH(A66,Table!F:F,0))="N","N","")</f>
        <v/>
      </c>
      <c r="AD66" s="58"/>
      <c r="AE66" s="58"/>
      <c r="AF66" s="417"/>
      <c r="AG66" s="58"/>
    </row>
    <row r="67" spans="1:33" ht="13.5" thickBot="1">
      <c r="A67" s="642" t="str">
        <f>A65</f>
        <v>Jack Walsh</v>
      </c>
      <c r="B67" s="643" t="str">
        <f t="shared" si="7"/>
        <v>Liverpool</v>
      </c>
      <c r="C67" s="644">
        <f>IF(J67="","",INDEX(Odds!C:C,MATCH(J67,Odds!G:G,0)))</f>
        <v>1</v>
      </c>
      <c r="D67" s="645">
        <f t="shared" si="8"/>
        <v>1.3</v>
      </c>
      <c r="E67" s="639" t="str">
        <f t="shared" ref="E67:E127" si="10">IF(J67="","",IF(M67=1,"√","x"))</f>
        <v>√</v>
      </c>
      <c r="F67" s="640"/>
      <c r="G67" s="641"/>
      <c r="H67" s="360"/>
      <c r="I67" s="360"/>
      <c r="J67" s="420" t="s">
        <v>632</v>
      </c>
      <c r="K67" s="657" t="str">
        <f>INDEX(Odds!H:H,MATCH(J67,Odds!G:G,0))</f>
        <v>3/10</v>
      </c>
      <c r="L67" s="658">
        <f>INDEX(Odds!I:I,MATCH(J67,Odds!G:G,0))</f>
        <v>1.3</v>
      </c>
      <c r="M67" s="653">
        <f>INDEX(Odds!J:J,MATCH(J67,Odds!G:G,0))</f>
        <v>1</v>
      </c>
      <c r="N67" s="659">
        <f t="shared" si="9"/>
        <v>1.3</v>
      </c>
      <c r="O67" s="526"/>
      <c r="P67" s="58"/>
      <c r="R67" s="35" t="str">
        <f>IF(Odds!G67="","",Odds!G67)</f>
        <v>Barnsley draw</v>
      </c>
      <c r="S67" s="36" t="str">
        <f>INDEX(Odds!H:H,MATCH(R67,Odds!G:G,0))</f>
        <v>5/2</v>
      </c>
      <c r="T67" s="40">
        <f t="shared" si="6"/>
        <v>0</v>
      </c>
      <c r="Y67" s="8">
        <f>INDEX(Odds!K:K,MATCH(J67,Odds!G:G,0))</f>
        <v>1</v>
      </c>
      <c r="AB67" s="529" t="str">
        <f>IF(O67="","",INDEX(Odds!H:H,MATCH(O67,Odds!G:G,0)))</f>
        <v/>
      </c>
      <c r="AC67" s="529" t="str">
        <f>IF(INDEX(Table!Q:Q,MATCH(A67,Table!F:F,0))="N","N","")</f>
        <v/>
      </c>
      <c r="AD67" s="58"/>
      <c r="AE67" s="58"/>
      <c r="AF67" s="417"/>
      <c r="AG67" s="58"/>
    </row>
    <row r="68" spans="1:33" ht="13.9" thickTop="1" thickBot="1">
      <c r="A68" s="629" t="str">
        <f>Results!B68</f>
        <v>Julie Dodd</v>
      </c>
      <c r="B68" s="630" t="str">
        <f t="shared" si="7"/>
        <v>Wimbledon</v>
      </c>
      <c r="C68" s="631">
        <f>IF(J68="","",INDEX(Odds!C:C,MATCH(J68,Odds!G:G,0)))</f>
        <v>7</v>
      </c>
      <c r="D68" s="632">
        <f t="shared" si="8"/>
        <v>2.15</v>
      </c>
      <c r="E68" s="633" t="str">
        <f t="shared" si="10"/>
        <v>√</v>
      </c>
      <c r="F68" s="634">
        <f>IF(J68="",-10,INDEX(Results!T:T,MATCH(A68,Results!V:V,0)))</f>
        <v>-0.75499999999999989</v>
      </c>
      <c r="G68" s="635">
        <f>IF(J68="","",INDEX(Results!AI:AI,MATCH(A68,Results!V:V,0)))</f>
        <v>10.112500000000001</v>
      </c>
      <c r="H68" s="360" t="str">
        <f>IF(INDEX(Table!Q:Q,MATCH(A68,Table!F:F,0))="N","N","Y")</f>
        <v>Y</v>
      </c>
      <c r="I68" s="359">
        <f>INDEX(Picks!AG:AG,MATCH(A68,Picks!AD:AD,0))</f>
        <v>18</v>
      </c>
      <c r="J68" s="419" t="s">
        <v>618</v>
      </c>
      <c r="K68" s="651" t="str">
        <f>INDEX(Odds!H:H,MATCH(J68,Odds!G:G,0))</f>
        <v>23/20</v>
      </c>
      <c r="L68" s="652">
        <f>INDEX(Odds!I:I,MATCH(J68,Odds!G:G,0))</f>
        <v>2.15</v>
      </c>
      <c r="M68" s="660">
        <f>INDEX(Odds!J:J,MATCH(J68,Odds!G:G,0))</f>
        <v>1</v>
      </c>
      <c r="N68" s="654">
        <f t="shared" si="9"/>
        <v>2.15</v>
      </c>
      <c r="O68" s="525"/>
      <c r="P68" s="58"/>
      <c r="R68" s="35" t="str">
        <f>IF(Odds!G68="","",Odds!G68)</f>
        <v>Bradford draw</v>
      </c>
      <c r="S68" s="36" t="str">
        <f>INDEX(Odds!H:H,MATCH(R68,Odds!G:G,0))</f>
        <v>11/5</v>
      </c>
      <c r="T68" s="40">
        <f t="shared" si="6"/>
        <v>0</v>
      </c>
      <c r="Y68" s="8">
        <f>INDEX(Odds!K:K,MATCH(J68,Odds!G:G,0))</f>
        <v>1</v>
      </c>
      <c r="AB68" s="528" t="str">
        <f>IF(O68="","",INDEX(Odds!H:H,MATCH(O68,Odds!G:G,0)))</f>
        <v/>
      </c>
      <c r="AC68" s="528" t="str">
        <f>IF(INDEX(Table!Q:Q,MATCH(A68,Table!F:F,0))="N","N","")</f>
        <v/>
      </c>
      <c r="AD68" s="58"/>
      <c r="AE68" s="58"/>
      <c r="AF68" s="417"/>
      <c r="AG68" s="58"/>
    </row>
    <row r="69" spans="1:33">
      <c r="A69" s="636" t="str">
        <f>A68</f>
        <v>Julie Dodd</v>
      </c>
      <c r="B69" s="637" t="str">
        <f t="shared" si="7"/>
        <v>Luton</v>
      </c>
      <c r="C69" s="631">
        <f>IF(J69="","",INDEX(Odds!C:C,MATCH(J69,Odds!G:G,0)))</f>
        <v>7</v>
      </c>
      <c r="D69" s="638">
        <f t="shared" si="8"/>
        <v>1.5</v>
      </c>
      <c r="E69" s="639" t="str">
        <f t="shared" si="10"/>
        <v>x</v>
      </c>
      <c r="F69" s="640"/>
      <c r="G69" s="641"/>
      <c r="H69" s="360">
        <f>IF(G68="",0,1)</f>
        <v>1</v>
      </c>
      <c r="I69" s="360"/>
      <c r="J69" s="419" t="s">
        <v>612</v>
      </c>
      <c r="K69" s="655" t="str">
        <f>INDEX(Odds!H:H,MATCH(J69,Odds!G:G,0))</f>
        <v>1/2</v>
      </c>
      <c r="L69" s="656">
        <f>INDEX(Odds!I:I,MATCH(J69,Odds!G:G,0))</f>
        <v>1.5</v>
      </c>
      <c r="M69" s="653">
        <f>INDEX(Odds!J:J,MATCH(J69,Odds!G:G,0))</f>
        <v>0</v>
      </c>
      <c r="N69" s="654">
        <f t="shared" si="9"/>
        <v>0</v>
      </c>
      <c r="O69" s="525"/>
      <c r="P69" s="58"/>
      <c r="R69" s="35" t="str">
        <f>IF(Odds!G69="","",Odds!G69)</f>
        <v>Burton draw</v>
      </c>
      <c r="S69" s="36" t="str">
        <f>INDEX(Odds!H:H,MATCH(R69,Odds!G:G,0))</f>
        <v>2/1</v>
      </c>
      <c r="T69" s="40">
        <f t="shared" si="6"/>
        <v>0</v>
      </c>
      <c r="Y69" s="8">
        <f>INDEX(Odds!K:K,MATCH(J69,Odds!G:G,0))</f>
        <v>1</v>
      </c>
      <c r="AB69" s="528" t="str">
        <f>IF(O69="","",INDEX(Odds!H:H,MATCH(O69,Odds!G:G,0)))</f>
        <v/>
      </c>
      <c r="AC69" s="528" t="str">
        <f>IF(INDEX(Table!Q:Q,MATCH(A69,Table!F:F,0))="N","N","")</f>
        <v/>
      </c>
      <c r="AD69" s="58"/>
      <c r="AE69" s="58"/>
      <c r="AF69" s="417"/>
      <c r="AG69" s="58"/>
    </row>
    <row r="70" spans="1:33" ht="13.5" thickBot="1">
      <c r="A70" s="642" t="str">
        <f>A68</f>
        <v>Julie Dodd</v>
      </c>
      <c r="B70" s="643" t="str">
        <f t="shared" si="7"/>
        <v>Liverpool</v>
      </c>
      <c r="C70" s="644">
        <f>IF(J70="","",INDEX(Odds!C:C,MATCH(J70,Odds!G:G,0)))</f>
        <v>1</v>
      </c>
      <c r="D70" s="645">
        <f t="shared" si="8"/>
        <v>1.3</v>
      </c>
      <c r="E70" s="639" t="str">
        <f t="shared" si="10"/>
        <v>√</v>
      </c>
      <c r="F70" s="640"/>
      <c r="G70" s="641"/>
      <c r="H70" s="360"/>
      <c r="I70" s="360"/>
      <c r="J70" s="420" t="s">
        <v>632</v>
      </c>
      <c r="K70" s="657" t="str">
        <f>INDEX(Odds!H:H,MATCH(J70,Odds!G:G,0))</f>
        <v>3/10</v>
      </c>
      <c r="L70" s="658">
        <f>INDEX(Odds!I:I,MATCH(J70,Odds!G:G,0))</f>
        <v>1.3</v>
      </c>
      <c r="M70" s="653">
        <f>INDEX(Odds!J:J,MATCH(J70,Odds!G:G,0))</f>
        <v>1</v>
      </c>
      <c r="N70" s="659">
        <f t="shared" si="9"/>
        <v>1.3</v>
      </c>
      <c r="O70" s="526"/>
      <c r="P70" s="58"/>
      <c r="R70" s="35" t="str">
        <f>IF(Odds!G70="","",Odds!G70)</f>
        <v>Exeter draw</v>
      </c>
      <c r="S70" s="36" t="str">
        <f>INDEX(Odds!H:H,MATCH(R70,Odds!G:G,0))</f>
        <v>21/10</v>
      </c>
      <c r="T70" s="40">
        <f t="shared" si="6"/>
        <v>0</v>
      </c>
      <c r="Y70" s="8">
        <f>INDEX(Odds!K:K,MATCH(J70,Odds!G:G,0))</f>
        <v>1</v>
      </c>
      <c r="AB70" s="529" t="str">
        <f>IF(O70="","",INDEX(Odds!H:H,MATCH(O70,Odds!G:G,0)))</f>
        <v/>
      </c>
      <c r="AC70" s="529" t="str">
        <f>IF(INDEX(Table!Q:Q,MATCH(A70,Table!F:F,0))="N","N","")</f>
        <v/>
      </c>
      <c r="AD70" s="58"/>
      <c r="AE70" s="58"/>
      <c r="AF70" s="417"/>
      <c r="AG70" s="58"/>
    </row>
    <row r="71" spans="1:33" ht="13.9" thickTop="1" thickBot="1">
      <c r="A71" s="629" t="str">
        <f>Results!B71</f>
        <v>Kevin Carter</v>
      </c>
      <c r="B71" s="630" t="str">
        <f>IF(J71="","",J71)</f>
        <v>West Brom</v>
      </c>
      <c r="C71" s="631">
        <f>IF(J71="","",INDEX(Odds!C:C,MATCH(J71,Odds!G:G,0)))</f>
        <v>7</v>
      </c>
      <c r="D71" s="632">
        <f>IF(J71="","",L71)</f>
        <v>1.8</v>
      </c>
      <c r="E71" s="633" t="str">
        <f>IF(J71="","",IF(M71=1,"√","x"))</f>
        <v>x</v>
      </c>
      <c r="F71" s="634">
        <f>IF(J71="",-10,INDEX(Results!T:T,MATCH(A71,Results!V:V,0)))</f>
        <v>-7</v>
      </c>
      <c r="G71" s="635">
        <f>IF(J71="","",INDEX(Results!AI:AI,MATCH(A71,Results!V:V,0)))</f>
        <v>20.101818181818182</v>
      </c>
      <c r="H71" s="360" t="str">
        <f>IF(INDEX(Table!Q:Q,MATCH(A71,Table!F:F,0))="N","N","Y")</f>
        <v>Y</v>
      </c>
      <c r="I71" s="359">
        <f>INDEX(Picks!AG:AG,MATCH(A71,Picks!AD:AD,0))</f>
        <v>36</v>
      </c>
      <c r="J71" s="419" t="s">
        <v>605</v>
      </c>
      <c r="K71" s="651" t="str">
        <f>INDEX(Odds!H:H,MATCH(J71,Odds!G:G,0))</f>
        <v>4/5</v>
      </c>
      <c r="L71" s="652">
        <f>INDEX(Odds!I:I,MATCH(J71,Odds!G:G,0))</f>
        <v>1.8</v>
      </c>
      <c r="M71" s="660">
        <f>INDEX(Odds!J:J,MATCH(J71,Odds!G:G,0))</f>
        <v>0</v>
      </c>
      <c r="N71" s="654">
        <f t="shared" si="9"/>
        <v>0</v>
      </c>
      <c r="O71" s="525"/>
      <c r="P71" s="58"/>
      <c r="R71" s="35" t="str">
        <f>IF(Odds!G71="","",Odds!G71)</f>
        <v>Luton draw</v>
      </c>
      <c r="S71" s="36" t="str">
        <f>INDEX(Odds!H:H,MATCH(R71,Odds!G:G,0))</f>
        <v>3/1</v>
      </c>
      <c r="T71" s="40">
        <f t="shared" si="6"/>
        <v>0</v>
      </c>
      <c r="Y71" s="8">
        <f>INDEX(Odds!K:K,MATCH(J71,Odds!G:G,0))</f>
        <v>1</v>
      </c>
      <c r="AB71" s="528" t="str">
        <f>IF(O71="","",INDEX(Odds!H:H,MATCH(O71,Odds!G:G,0)))</f>
        <v/>
      </c>
      <c r="AC71" s="528" t="str">
        <f>IF(INDEX(Table!Q:Q,MATCH(A71,Table!F:F,0))="N","N","")</f>
        <v/>
      </c>
      <c r="AD71" s="58"/>
      <c r="AE71" s="58"/>
      <c r="AF71" s="417"/>
      <c r="AG71" s="58"/>
    </row>
    <row r="72" spans="1:33">
      <c r="A72" s="636" t="str">
        <f>A71</f>
        <v>Kevin Carter</v>
      </c>
      <c r="B72" s="637" t="str">
        <f t="shared" si="7"/>
        <v>Leicester</v>
      </c>
      <c r="C72" s="631">
        <f>IF(J72="","",INDEX(Odds!C:C,MATCH(J72,Odds!G:G,0)))</f>
        <v>7</v>
      </c>
      <c r="D72" s="638">
        <f t="shared" si="8"/>
        <v>1.9090909090909092</v>
      </c>
      <c r="E72" s="639" t="str">
        <f t="shared" si="10"/>
        <v>x</v>
      </c>
      <c r="F72" s="640"/>
      <c r="G72" s="641"/>
      <c r="H72" s="360">
        <f>IF(G71="",0,1)</f>
        <v>1</v>
      </c>
      <c r="I72" s="360"/>
      <c r="J72" s="419" t="s">
        <v>595</v>
      </c>
      <c r="K72" s="655" t="str">
        <f>INDEX(Odds!H:H,MATCH(J72,Odds!G:G,0))</f>
        <v>10/11</v>
      </c>
      <c r="L72" s="656">
        <f>INDEX(Odds!I:I,MATCH(J72,Odds!G:G,0))</f>
        <v>1.9090909090909092</v>
      </c>
      <c r="M72" s="653">
        <f>INDEX(Odds!J:J,MATCH(J72,Odds!G:G,0))</f>
        <v>0</v>
      </c>
      <c r="N72" s="654">
        <f t="shared" si="9"/>
        <v>0</v>
      </c>
      <c r="O72" s="525"/>
      <c r="P72" s="58"/>
      <c r="R72" s="35" t="str">
        <f>IF(Odds!G72="","",Odds!G72)</f>
        <v>Mansfield draw</v>
      </c>
      <c r="S72" s="36" t="str">
        <f>INDEX(Odds!H:H,MATCH(R72,Odds!G:G,0))</f>
        <v>2/1</v>
      </c>
      <c r="T72" s="40">
        <f t="shared" si="6"/>
        <v>1</v>
      </c>
      <c r="Y72" s="8">
        <f>INDEX(Odds!K:K,MATCH(J72,Odds!G:G,0))</f>
        <v>1</v>
      </c>
      <c r="AB72" s="528" t="str">
        <f>IF(O72="","",INDEX(Odds!H:H,MATCH(O72,Odds!G:G,0)))</f>
        <v/>
      </c>
      <c r="AC72" s="528" t="str">
        <f>IF(INDEX(Table!Q:Q,MATCH(A72,Table!F:F,0))="N","N","")</f>
        <v/>
      </c>
      <c r="AD72" s="58"/>
      <c r="AE72" s="58"/>
      <c r="AF72" s="417"/>
      <c r="AG72" s="58"/>
    </row>
    <row r="73" spans="1:33" ht="13.5" thickBot="1">
      <c r="A73" s="642" t="str">
        <f>A71</f>
        <v>Kevin Carter</v>
      </c>
      <c r="B73" s="643" t="str">
        <f t="shared" si="7"/>
        <v>Everton</v>
      </c>
      <c r="C73" s="644">
        <f>IF(J73="","",INDEX(Odds!C:C,MATCH(J73,Odds!G:G,0)))</f>
        <v>7</v>
      </c>
      <c r="D73" s="645">
        <f t="shared" si="8"/>
        <v>2.4500000000000002</v>
      </c>
      <c r="E73" s="639" t="str">
        <f t="shared" si="10"/>
        <v>x</v>
      </c>
      <c r="F73" s="640"/>
      <c r="G73" s="641"/>
      <c r="H73" s="360"/>
      <c r="I73" s="360"/>
      <c r="J73" s="420" t="s">
        <v>585</v>
      </c>
      <c r="K73" s="657" t="str">
        <f>INDEX(Odds!H:H,MATCH(J73,Odds!G:G,0))</f>
        <v>29/20</v>
      </c>
      <c r="L73" s="658">
        <f>INDEX(Odds!I:I,MATCH(J73,Odds!G:G,0))</f>
        <v>2.4500000000000002</v>
      </c>
      <c r="M73" s="653">
        <f>INDEX(Odds!J:J,MATCH(J73,Odds!G:G,0))</f>
        <v>0</v>
      </c>
      <c r="N73" s="659">
        <f t="shared" si="9"/>
        <v>0</v>
      </c>
      <c r="O73" s="526"/>
      <c r="P73" s="58"/>
      <c r="R73" s="35" t="str">
        <f>IF(Odds!G73="","",Odds!G73)</f>
        <v>Northampton draw</v>
      </c>
      <c r="S73" s="36" t="str">
        <f>INDEX(Odds!H:H,MATCH(R73,Odds!G:G,0))</f>
        <v>21/10</v>
      </c>
      <c r="T73" s="40">
        <f t="shared" si="6"/>
        <v>0</v>
      </c>
      <c r="Y73" s="8">
        <f>INDEX(Odds!K:K,MATCH(J73,Odds!G:G,0))</f>
        <v>1</v>
      </c>
      <c r="AB73" s="529" t="str">
        <f>IF(O73="","",INDEX(Odds!H:H,MATCH(O73,Odds!G:G,0)))</f>
        <v/>
      </c>
      <c r="AC73" s="529" t="str">
        <f>IF(INDEX(Table!Q:Q,MATCH(A73,Table!F:F,0))="N","N","")</f>
        <v/>
      </c>
      <c r="AD73" s="58"/>
      <c r="AE73" s="58"/>
      <c r="AF73" s="417"/>
      <c r="AG73" s="58"/>
    </row>
    <row r="74" spans="1:33" ht="13.9" thickTop="1" thickBot="1">
      <c r="A74" s="629" t="str">
        <f>Results!B74</f>
        <v>Lennie Bow</v>
      </c>
      <c r="B74" s="630" t="str">
        <f t="shared" si="7"/>
        <v>Coventry</v>
      </c>
      <c r="C74" s="631">
        <f>IF(J74="","",INDEX(Odds!C:C,MATCH(J74,Odds!G:G,0)))</f>
        <v>7</v>
      </c>
      <c r="D74" s="632">
        <f t="shared" si="8"/>
        <v>1.7272727272727273</v>
      </c>
      <c r="E74" s="633" t="str">
        <f t="shared" si="10"/>
        <v>x</v>
      </c>
      <c r="F74" s="634">
        <f>IF(J74="",-10,INDEX(Results!T:T,MATCH(A74,Results!V:V,0)))</f>
        <v>-7</v>
      </c>
      <c r="G74" s="635">
        <f>IF(J74="","",INDEX(Results!AI:AI,MATCH(A74,Results!V:V,0)))</f>
        <v>11.09090909090909</v>
      </c>
      <c r="H74" s="360" t="str">
        <f>IF(INDEX(Table!Q:Q,MATCH(A74,Table!F:F,0))="N","N","Y")</f>
        <v>Y</v>
      </c>
      <c r="I74" s="359">
        <f>INDEX(Picks!AG:AG,MATCH(A74,Picks!AD:AD,0))</f>
        <v>36</v>
      </c>
      <c r="J74" s="419" t="s">
        <v>537</v>
      </c>
      <c r="K74" s="651" t="str">
        <f>INDEX(Odds!H:H,MATCH(J74,Odds!G:G,0))</f>
        <v>8/11</v>
      </c>
      <c r="L74" s="652">
        <f>INDEX(Odds!I:I,MATCH(J74,Odds!G:G,0))</f>
        <v>1.7272727272727273</v>
      </c>
      <c r="M74" s="660">
        <f>INDEX(Odds!J:J,MATCH(J74,Odds!G:G,0))</f>
        <v>0</v>
      </c>
      <c r="N74" s="654">
        <f t="shared" si="9"/>
        <v>0</v>
      </c>
      <c r="O74" s="525"/>
      <c r="P74" s="58"/>
      <c r="R74" s="35" t="str">
        <f>IF(Odds!G74="","",Odds!G74)</f>
        <v>Orient draw</v>
      </c>
      <c r="S74" s="36" t="str">
        <f>INDEX(Odds!H:H,MATCH(R74,Odds!G:G,0))</f>
        <v>23/10</v>
      </c>
      <c r="T74" s="40">
        <f t="shared" si="6"/>
        <v>1</v>
      </c>
      <c r="Y74" s="8">
        <f>INDEX(Odds!K:K,MATCH(J74,Odds!G:G,0))</f>
        <v>1</v>
      </c>
      <c r="AB74" s="528" t="str">
        <f>IF(O74="","",INDEX(Odds!H:H,MATCH(O74,Odds!G:G,0)))</f>
        <v/>
      </c>
      <c r="AC74" s="528" t="str">
        <f>IF(INDEX(Table!Q:Q,MATCH(A74,Table!F:F,0))="N","N","")</f>
        <v/>
      </c>
      <c r="AD74" s="58"/>
      <c r="AE74" s="58"/>
      <c r="AF74" s="417"/>
      <c r="AG74" s="58"/>
    </row>
    <row r="75" spans="1:33">
      <c r="A75" s="636" t="str">
        <f>A74</f>
        <v>Lennie Bow</v>
      </c>
      <c r="B75" s="637" t="str">
        <f t="shared" si="7"/>
        <v>West Brom</v>
      </c>
      <c r="C75" s="631">
        <f>IF(J75="","",INDEX(Odds!C:C,MATCH(J75,Odds!G:G,0)))</f>
        <v>7</v>
      </c>
      <c r="D75" s="638">
        <f t="shared" si="8"/>
        <v>1.8</v>
      </c>
      <c r="E75" s="639" t="str">
        <f t="shared" si="10"/>
        <v>x</v>
      </c>
      <c r="F75" s="640"/>
      <c r="G75" s="641"/>
      <c r="H75" s="360">
        <f>IF(G74="",0,1)</f>
        <v>1</v>
      </c>
      <c r="I75" s="360"/>
      <c r="J75" s="419" t="s">
        <v>605</v>
      </c>
      <c r="K75" s="655" t="str">
        <f>INDEX(Odds!H:H,MATCH(J75,Odds!G:G,0))</f>
        <v>4/5</v>
      </c>
      <c r="L75" s="656">
        <f>INDEX(Odds!I:I,MATCH(J75,Odds!G:G,0))</f>
        <v>1.8</v>
      </c>
      <c r="M75" s="653">
        <f>INDEX(Odds!J:J,MATCH(J75,Odds!G:G,0))</f>
        <v>0</v>
      </c>
      <c r="N75" s="654">
        <f t="shared" si="9"/>
        <v>0</v>
      </c>
      <c r="O75" s="525"/>
      <c r="P75" s="58"/>
      <c r="R75" s="35" t="str">
        <f>IF(Odds!G75="","",Odds!G75)</f>
        <v>Peterbro draw</v>
      </c>
      <c r="S75" s="36" t="str">
        <f>INDEX(Odds!H:H,MATCH(R75,Odds!G:G,0))</f>
        <v>23/10</v>
      </c>
      <c r="T75" s="40">
        <f t="shared" si="6"/>
        <v>0</v>
      </c>
      <c r="Y75" s="8">
        <f>INDEX(Odds!K:K,MATCH(J75,Odds!G:G,0))</f>
        <v>1</v>
      </c>
      <c r="AB75" s="528" t="str">
        <f>IF(O75="","",INDEX(Odds!H:H,MATCH(O75,Odds!G:G,0)))</f>
        <v/>
      </c>
      <c r="AC75" s="528" t="str">
        <f>IF(INDEX(Table!Q:Q,MATCH(A75,Table!F:F,0))="N","N","")</f>
        <v/>
      </c>
      <c r="AD75" s="58"/>
      <c r="AE75" s="58"/>
      <c r="AF75" s="417"/>
      <c r="AG75" s="58"/>
    </row>
    <row r="76" spans="1:33" ht="13.5" thickBot="1">
      <c r="A76" s="642" t="str">
        <f>A74</f>
        <v>Lennie Bow</v>
      </c>
      <c r="B76" s="643" t="str">
        <f t="shared" si="7"/>
        <v>Luton</v>
      </c>
      <c r="C76" s="644">
        <f>IF(J76="","",INDEX(Odds!C:C,MATCH(J76,Odds!G:G,0)))</f>
        <v>7</v>
      </c>
      <c r="D76" s="645">
        <f t="shared" si="8"/>
        <v>1.5</v>
      </c>
      <c r="E76" s="639" t="str">
        <f t="shared" si="10"/>
        <v>x</v>
      </c>
      <c r="F76" s="640"/>
      <c r="G76" s="641"/>
      <c r="H76" s="360"/>
      <c r="I76" s="360"/>
      <c r="J76" s="420" t="s">
        <v>612</v>
      </c>
      <c r="K76" s="657" t="str">
        <f>INDEX(Odds!H:H,MATCH(J76,Odds!G:G,0))</f>
        <v>1/2</v>
      </c>
      <c r="L76" s="658">
        <f>INDEX(Odds!I:I,MATCH(J76,Odds!G:G,0))</f>
        <v>1.5</v>
      </c>
      <c r="M76" s="653">
        <f>INDEX(Odds!J:J,MATCH(J76,Odds!G:G,0))</f>
        <v>0</v>
      </c>
      <c r="N76" s="659">
        <f t="shared" si="9"/>
        <v>0</v>
      </c>
      <c r="O76" s="526"/>
      <c r="P76" s="58"/>
      <c r="R76" s="35" t="str">
        <f>IF(Odds!G76="","",Odds!G76)</f>
        <v>Stockport draw</v>
      </c>
      <c r="S76" s="36" t="str">
        <f>INDEX(Odds!H:H,MATCH(R76,Odds!G:G,0))</f>
        <v>11/5</v>
      </c>
      <c r="T76" s="40">
        <f t="shared" si="6"/>
        <v>1</v>
      </c>
      <c r="Y76" s="8">
        <f>INDEX(Odds!K:K,MATCH(J76,Odds!G:G,0))</f>
        <v>1</v>
      </c>
      <c r="AB76" s="529" t="str">
        <f>IF(O76="","",INDEX(Odds!H:H,MATCH(O76,Odds!G:G,0)))</f>
        <v/>
      </c>
      <c r="AC76" s="529" t="str">
        <f>IF(INDEX(Table!Q:Q,MATCH(A76,Table!F:F,0))="N","N","")</f>
        <v/>
      </c>
      <c r="AD76" s="58"/>
      <c r="AE76" s="58"/>
      <c r="AF76" s="417"/>
      <c r="AG76" s="58"/>
    </row>
    <row r="77" spans="1:33" ht="13.9" thickTop="1" thickBot="1">
      <c r="A77" s="629" t="str">
        <f>Results!B77</f>
        <v>Mark Bunn</v>
      </c>
      <c r="B77" s="630" t="str">
        <f t="shared" si="7"/>
        <v>Bristol C</v>
      </c>
      <c r="C77" s="631">
        <f>IF(J77="","",INDEX(Odds!C:C,MATCH(J77,Odds!G:G,0)))</f>
        <v>7</v>
      </c>
      <c r="D77" s="632">
        <f t="shared" si="8"/>
        <v>2.1</v>
      </c>
      <c r="E77" s="633" t="str">
        <f t="shared" si="10"/>
        <v>√</v>
      </c>
      <c r="F77" s="634">
        <f>IF(J77="",-10,INDEX(Results!T:T,MATCH(A77,Results!V:V,0)))</f>
        <v>2.5399999999999991</v>
      </c>
      <c r="G77" s="635">
        <f>IF(J77="","",INDEX(Results!AI:AI,MATCH(A77,Results!V:V,0)))</f>
        <v>31.524999999999999</v>
      </c>
      <c r="H77" s="360" t="str">
        <f>IF(INDEX(Table!Q:Q,MATCH(A77,Table!F:F,0))="N","N","Y")</f>
        <v>Y</v>
      </c>
      <c r="I77" s="359">
        <f>INDEX(Picks!AG:AG,MATCH(A77,Picks!AD:AD,0))</f>
        <v>12</v>
      </c>
      <c r="J77" s="419" t="s">
        <v>536</v>
      </c>
      <c r="K77" s="651" t="str">
        <f>INDEX(Odds!H:H,MATCH(J77,Odds!G:G,0))</f>
        <v>11/10</v>
      </c>
      <c r="L77" s="652">
        <f>INDEX(Odds!I:I,MATCH(J77,Odds!G:G,0))</f>
        <v>2.1</v>
      </c>
      <c r="M77" s="660">
        <f>INDEX(Odds!J:J,MATCH(J77,Odds!G:G,0))</f>
        <v>1</v>
      </c>
      <c r="N77" s="654">
        <f t="shared" si="9"/>
        <v>2.1</v>
      </c>
      <c r="O77" s="525"/>
      <c r="P77" s="58"/>
      <c r="R77" s="35" t="str">
        <f>IF(Odds!G77="","",Odds!G77)</f>
        <v>Wigan draw</v>
      </c>
      <c r="S77" s="36" t="str">
        <f>INDEX(Odds!H:H,MATCH(R77,Odds!G:G,0))</f>
        <v>2/1</v>
      </c>
      <c r="T77" s="40">
        <f t="shared" si="6"/>
        <v>0</v>
      </c>
      <c r="Y77" s="8">
        <f>INDEX(Odds!K:K,MATCH(J77,Odds!G:G,0))</f>
        <v>1</v>
      </c>
      <c r="AB77" s="528" t="str">
        <f>IF(O77="","",INDEX(Odds!H:H,MATCH(O77,Odds!G:G,0)))</f>
        <v/>
      </c>
      <c r="AC77" s="528" t="str">
        <f>IF(INDEX(Table!Q:Q,MATCH(A77,Table!F:F,0))="N","N","")</f>
        <v/>
      </c>
      <c r="AD77" s="58"/>
      <c r="AE77" s="58"/>
      <c r="AF77" s="417"/>
      <c r="AG77" s="58"/>
    </row>
    <row r="78" spans="1:33">
      <c r="A78" s="636" t="str">
        <f>A77</f>
        <v>Mark Bunn</v>
      </c>
      <c r="B78" s="637" t="str">
        <f t="shared" si="7"/>
        <v>Lincoln</v>
      </c>
      <c r="C78" s="631">
        <f>IF(J78="","",INDEX(Odds!C:C,MATCH(J78,Odds!G:G,0)))</f>
        <v>7</v>
      </c>
      <c r="D78" s="638">
        <f t="shared" si="8"/>
        <v>2.4</v>
      </c>
      <c r="E78" s="639" t="str">
        <f t="shared" si="10"/>
        <v>√</v>
      </c>
      <c r="F78" s="640"/>
      <c r="G78" s="641"/>
      <c r="H78" s="360">
        <f>IF(G77="",0,1)</f>
        <v>1</v>
      </c>
      <c r="I78" s="360"/>
      <c r="J78" s="419" t="s">
        <v>556</v>
      </c>
      <c r="K78" s="655" t="str">
        <f>INDEX(Odds!H:H,MATCH(J78,Odds!G:G,0))</f>
        <v>7/5</v>
      </c>
      <c r="L78" s="656">
        <f>INDEX(Odds!I:I,MATCH(J78,Odds!G:G,0))</f>
        <v>2.4</v>
      </c>
      <c r="M78" s="653">
        <f>INDEX(Odds!J:J,MATCH(J78,Odds!G:G,0))</f>
        <v>1</v>
      </c>
      <c r="N78" s="654">
        <f t="shared" si="9"/>
        <v>2.4</v>
      </c>
      <c r="O78" s="525"/>
      <c r="P78" s="58"/>
      <c r="R78" s="35" t="str">
        <f>IF(Odds!G78="","",Odds!G78)</f>
        <v>Wimbledon draw</v>
      </c>
      <c r="S78" s="36" t="str">
        <f>INDEX(Odds!H:H,MATCH(R78,Odds!G:G,0))</f>
        <v>21/10</v>
      </c>
      <c r="T78" s="40">
        <f t="shared" si="6"/>
        <v>0</v>
      </c>
      <c r="Y78" s="8">
        <f>INDEX(Odds!K:K,MATCH(J78,Odds!G:G,0))</f>
        <v>1</v>
      </c>
      <c r="AB78" s="528" t="str">
        <f>IF(O78="","",INDEX(Odds!H:H,MATCH(O78,Odds!G:G,0)))</f>
        <v/>
      </c>
      <c r="AC78" s="528" t="str">
        <f>IF(INDEX(Table!Q:Q,MATCH(A78,Table!F:F,0))="N","N","")</f>
        <v/>
      </c>
      <c r="AD78" s="58"/>
      <c r="AE78" s="58"/>
      <c r="AF78" s="417"/>
      <c r="AG78" s="58"/>
    </row>
    <row r="79" spans="1:33" ht="13.5" thickBot="1">
      <c r="A79" s="642" t="str">
        <f>A77</f>
        <v>Mark Bunn</v>
      </c>
      <c r="B79" s="643" t="str">
        <f t="shared" si="7"/>
        <v>Doncaster</v>
      </c>
      <c r="C79" s="644">
        <f>IF(J79="","",INDEX(Odds!C:C,MATCH(J79,Odds!G:G,0)))</f>
        <v>7</v>
      </c>
      <c r="D79" s="645">
        <f t="shared" si="8"/>
        <v>2.75</v>
      </c>
      <c r="E79" s="639" t="str">
        <f t="shared" si="10"/>
        <v>x</v>
      </c>
      <c r="F79" s="640"/>
      <c r="G79" s="641"/>
      <c r="H79" s="360"/>
      <c r="I79" s="360"/>
      <c r="J79" s="420" t="s">
        <v>398</v>
      </c>
      <c r="K79" s="657" t="str">
        <f>INDEX(Odds!H:H,MATCH(J79,Odds!G:G,0))</f>
        <v>7/4</v>
      </c>
      <c r="L79" s="658">
        <f>INDEX(Odds!I:I,MATCH(J79,Odds!G:G,0))</f>
        <v>2.75</v>
      </c>
      <c r="M79" s="653">
        <f>INDEX(Odds!J:J,MATCH(J79,Odds!G:G,0))</f>
        <v>0</v>
      </c>
      <c r="N79" s="659">
        <f t="shared" si="9"/>
        <v>0</v>
      </c>
      <c r="O79" s="526"/>
      <c r="P79" s="58"/>
      <c r="R79" s="35" t="str">
        <f>IF(Odds!G79="","",Odds!G79)</f>
        <v>Accrington draw</v>
      </c>
      <c r="S79" s="36" t="str">
        <f>INDEX(Odds!H:H,MATCH(R79,Odds!G:G,0))</f>
        <v>2/1</v>
      </c>
      <c r="T79" s="40">
        <f t="shared" si="6"/>
        <v>0</v>
      </c>
      <c r="Y79" s="8">
        <f>INDEX(Odds!K:K,MATCH(J79,Odds!G:G,0))</f>
        <v>1</v>
      </c>
      <c r="AB79" s="529" t="str">
        <f>IF(O79="","",INDEX(Odds!H:H,MATCH(O79,Odds!G:G,0)))</f>
        <v/>
      </c>
      <c r="AC79" s="529" t="str">
        <f>IF(INDEX(Table!Q:Q,MATCH(A79,Table!F:F,0))="N","N","")</f>
        <v/>
      </c>
      <c r="AD79" s="58"/>
      <c r="AE79" s="58"/>
      <c r="AF79" s="417"/>
      <c r="AG79" s="58"/>
    </row>
    <row r="80" spans="1:33" ht="13.9" thickTop="1" thickBot="1">
      <c r="A80" s="629" t="str">
        <f>Results!B80</f>
        <v>Mark Saunders</v>
      </c>
      <c r="B80" s="630" t="str">
        <f t="shared" si="7"/>
        <v>Fulham draw</v>
      </c>
      <c r="C80" s="631">
        <f>IF(J80="","",INDEX(Odds!C:C,MATCH(J80,Odds!G:G,0)))</f>
        <v>7</v>
      </c>
      <c r="D80" s="632">
        <f t="shared" si="8"/>
        <v>3.6</v>
      </c>
      <c r="E80" s="633" t="str">
        <f t="shared" si="10"/>
        <v>x</v>
      </c>
      <c r="F80" s="634">
        <f>IF(J80="",-10,INDEX(Results!T:T,MATCH(A80,Results!V:V,0)))</f>
        <v>-7</v>
      </c>
      <c r="G80" s="635">
        <f>IF(J80="","",INDEX(Results!AI:AI,MATCH(A80,Results!V:V,0)))</f>
        <v>50.88</v>
      </c>
      <c r="H80" s="360" t="str">
        <f>IF(INDEX(Table!Q:Q,MATCH(A80,Table!F:F,0))="N","N","Y")</f>
        <v>Y</v>
      </c>
      <c r="I80" s="359">
        <f>INDEX(Picks!AG:AG,MATCH(A80,Picks!AD:AD,0))</f>
        <v>36</v>
      </c>
      <c r="J80" s="419" t="s">
        <v>644</v>
      </c>
      <c r="K80" s="651" t="str">
        <f>INDEX(Odds!H:H,MATCH(J80,Odds!G:G,0))</f>
        <v>13/5</v>
      </c>
      <c r="L80" s="652">
        <f>INDEX(Odds!I:I,MATCH(J80,Odds!G:G,0))</f>
        <v>3.6</v>
      </c>
      <c r="M80" s="660">
        <f>INDEX(Odds!J:J,MATCH(J80,Odds!G:G,0))</f>
        <v>0</v>
      </c>
      <c r="N80" s="654">
        <f t="shared" si="9"/>
        <v>0</v>
      </c>
      <c r="O80" s="525"/>
      <c r="P80" s="58"/>
      <c r="R80" s="35" t="str">
        <f>IF(Odds!G80="","",Odds!G80)</f>
        <v>Bristol R draw</v>
      </c>
      <c r="S80" s="36" t="str">
        <f>INDEX(Odds!H:H,MATCH(R80,Odds!G:G,0))</f>
        <v>21/10</v>
      </c>
      <c r="T80" s="40">
        <f t="shared" si="6"/>
        <v>0</v>
      </c>
      <c r="Y80" s="8">
        <f>INDEX(Odds!K:K,MATCH(J80,Odds!G:G,0))</f>
        <v>1</v>
      </c>
      <c r="AB80" s="528" t="str">
        <f>IF(O80="","",INDEX(Odds!H:H,MATCH(O80,Odds!G:G,0)))</f>
        <v/>
      </c>
      <c r="AC80" s="528" t="str">
        <f>IF(INDEX(Table!Q:Q,MATCH(A80,Table!F:F,0))="N","N","")</f>
        <v/>
      </c>
      <c r="AD80" s="58"/>
      <c r="AE80" s="58"/>
      <c r="AF80" s="417"/>
      <c r="AG80" s="58"/>
    </row>
    <row r="81" spans="1:33">
      <c r="A81" s="636" t="str">
        <f>A80</f>
        <v>Mark Saunders</v>
      </c>
      <c r="B81" s="637" t="str">
        <f t="shared" si="7"/>
        <v>West Ham draw</v>
      </c>
      <c r="C81" s="631">
        <f>IF(J81="","",INDEX(Odds!C:C,MATCH(J81,Odds!G:G,0)))</f>
        <v>7</v>
      </c>
      <c r="D81" s="638">
        <f t="shared" si="8"/>
        <v>3.4</v>
      </c>
      <c r="E81" s="639" t="str">
        <f t="shared" si="10"/>
        <v>x</v>
      </c>
      <c r="F81" s="640"/>
      <c r="G81" s="641"/>
      <c r="H81" s="360">
        <f>IF(G80="",0,1)</f>
        <v>1</v>
      </c>
      <c r="I81" s="360"/>
      <c r="J81" s="419" t="s">
        <v>638</v>
      </c>
      <c r="K81" s="655" t="str">
        <f>INDEX(Odds!H:H,MATCH(J81,Odds!G:G,0))</f>
        <v>12/5</v>
      </c>
      <c r="L81" s="656">
        <f>INDEX(Odds!I:I,MATCH(J81,Odds!G:G,0))</f>
        <v>3.4</v>
      </c>
      <c r="M81" s="653">
        <f>INDEX(Odds!J:J,MATCH(J81,Odds!G:G,0))</f>
        <v>0</v>
      </c>
      <c r="N81" s="654">
        <f t="shared" si="9"/>
        <v>0</v>
      </c>
      <c r="O81" s="525"/>
      <c r="P81" s="58"/>
      <c r="R81" s="35" t="str">
        <f>IF(Odds!G81="","",Odds!G81)</f>
        <v>Chesterfield draw</v>
      </c>
      <c r="S81" s="36" t="str">
        <f>INDEX(Odds!H:H,MATCH(R81,Odds!G:G,0))</f>
        <v>11/5</v>
      </c>
      <c r="T81" s="40">
        <f t="shared" si="6"/>
        <v>1</v>
      </c>
      <c r="Y81" s="8">
        <f>INDEX(Odds!K:K,MATCH(J81,Odds!G:G,0))</f>
        <v>1</v>
      </c>
      <c r="AB81" s="528" t="str">
        <f>IF(O81="","",INDEX(Odds!H:H,MATCH(O81,Odds!G:G,0)))</f>
        <v/>
      </c>
      <c r="AC81" s="528" t="str">
        <f>IF(INDEX(Table!Q:Q,MATCH(A81,Table!F:F,0))="N","N","")</f>
        <v/>
      </c>
      <c r="AD81" s="58"/>
      <c r="AE81" s="58"/>
      <c r="AF81" s="417"/>
      <c r="AG81" s="58"/>
    </row>
    <row r="82" spans="1:33" ht="13.5" thickBot="1">
      <c r="A82" s="642" t="str">
        <f>A80</f>
        <v>Mark Saunders</v>
      </c>
      <c r="B82" s="643" t="str">
        <f t="shared" si="7"/>
        <v>Leicester</v>
      </c>
      <c r="C82" s="644">
        <f>IF(J82="","",INDEX(Odds!C:C,MATCH(J82,Odds!G:G,0)))</f>
        <v>7</v>
      </c>
      <c r="D82" s="645">
        <f t="shared" si="8"/>
        <v>1.9090909090909092</v>
      </c>
      <c r="E82" s="639" t="str">
        <f t="shared" si="10"/>
        <v>x</v>
      </c>
      <c r="F82" s="640"/>
      <c r="G82" s="641"/>
      <c r="H82" s="360"/>
      <c r="I82" s="360"/>
      <c r="J82" s="420" t="s">
        <v>595</v>
      </c>
      <c r="K82" s="657" t="str">
        <f>INDEX(Odds!H:H,MATCH(J82,Odds!G:G,0))</f>
        <v>10/11</v>
      </c>
      <c r="L82" s="658">
        <f>INDEX(Odds!I:I,MATCH(J82,Odds!G:G,0))</f>
        <v>1.9090909090909092</v>
      </c>
      <c r="M82" s="653">
        <f>INDEX(Odds!J:J,MATCH(J82,Odds!G:G,0))</f>
        <v>0</v>
      </c>
      <c r="N82" s="659">
        <f t="shared" si="9"/>
        <v>0</v>
      </c>
      <c r="O82" s="526"/>
      <c r="P82" s="58"/>
      <c r="R82" s="35" t="str">
        <f>IF(Odds!G82="","",Odds!G82)</f>
        <v>Crawley draw</v>
      </c>
      <c r="S82" s="36" t="str">
        <f>INDEX(Odds!H:H,MATCH(R82,Odds!G:G,0))</f>
        <v>23/10</v>
      </c>
      <c r="T82" s="40">
        <f t="shared" si="6"/>
        <v>0</v>
      </c>
      <c r="Y82" s="8">
        <f>INDEX(Odds!K:K,MATCH(J82,Odds!G:G,0))</f>
        <v>1</v>
      </c>
      <c r="AB82" s="529" t="str">
        <f>IF(O82="","",INDEX(Odds!H:H,MATCH(O82,Odds!G:G,0)))</f>
        <v/>
      </c>
      <c r="AC82" s="529" t="str">
        <f>IF(INDEX(Table!Q:Q,MATCH(A82,Table!F:F,0))="N","N","")</f>
        <v/>
      </c>
      <c r="AD82" s="58"/>
      <c r="AE82" s="58"/>
      <c r="AF82" s="417"/>
      <c r="AG82" s="58"/>
    </row>
    <row r="83" spans="1:33" ht="13.9" thickTop="1" thickBot="1">
      <c r="A83" s="629" t="str">
        <f>Results!B83</f>
        <v>Martin Molyneux</v>
      </c>
      <c r="B83" s="630" t="str">
        <f t="shared" si="7"/>
        <v>Everton</v>
      </c>
      <c r="C83" s="631">
        <f>IF(J83="","",INDEX(Odds!C:C,MATCH(J83,Odds!G:G,0)))</f>
        <v>7</v>
      </c>
      <c r="D83" s="632">
        <f t="shared" si="8"/>
        <v>2.4500000000000002</v>
      </c>
      <c r="E83" s="633" t="str">
        <f t="shared" si="10"/>
        <v>x</v>
      </c>
      <c r="F83" s="634">
        <f>IF(J83="",-10,INDEX(Results!T:T,MATCH(A83,Results!V:V,0)))</f>
        <v>1.163636363636364</v>
      </c>
      <c r="G83" s="635">
        <f>IF(J83="","",INDEX(Results!AI:AI,MATCH(A83,Results!V:V,0)))</f>
        <v>23.614545454545457</v>
      </c>
      <c r="H83" s="360" t="str">
        <f>IF(INDEX(Table!Q:Q,MATCH(A83,Table!F:F,0))="N","N","Y")</f>
        <v>Y</v>
      </c>
      <c r="I83" s="359">
        <f>INDEX(Picks!AG:AG,MATCH(A83,Picks!AD:AD,0))</f>
        <v>14</v>
      </c>
      <c r="J83" s="419" t="s">
        <v>585</v>
      </c>
      <c r="K83" s="651" t="str">
        <f>INDEX(Odds!H:H,MATCH(J83,Odds!G:G,0))</f>
        <v>29/20</v>
      </c>
      <c r="L83" s="652">
        <f>INDEX(Odds!I:I,MATCH(J83,Odds!G:G,0))</f>
        <v>2.4500000000000002</v>
      </c>
      <c r="M83" s="660">
        <f>INDEX(Odds!J:J,MATCH(J83,Odds!G:G,0))</f>
        <v>0</v>
      </c>
      <c r="N83" s="654">
        <f t="shared" si="9"/>
        <v>0</v>
      </c>
      <c r="O83" s="525"/>
      <c r="P83" s="58"/>
      <c r="R83" s="35" t="str">
        <f>IF(Odds!G83="","",Odds!G83)</f>
        <v>Crewe draw</v>
      </c>
      <c r="S83" s="36" t="str">
        <f>INDEX(Odds!H:H,MATCH(R83,Odds!G:G,0))</f>
        <v>9/4</v>
      </c>
      <c r="T83" s="40">
        <f t="shared" si="6"/>
        <v>0</v>
      </c>
      <c r="Y83" s="8">
        <f>INDEX(Odds!K:K,MATCH(J83,Odds!G:G,0))</f>
        <v>1</v>
      </c>
      <c r="AB83" s="528" t="str">
        <f>IF(O83="","",INDEX(Odds!H:H,MATCH(O83,Odds!G:G,0)))</f>
        <v/>
      </c>
      <c r="AC83" s="528" t="str">
        <f>IF(INDEX(Table!Q:Q,MATCH(A83,Table!F:F,0))="N","N","")</f>
        <v/>
      </c>
      <c r="AD83" s="58"/>
      <c r="AE83" s="58"/>
      <c r="AF83" s="417"/>
      <c r="AG83" s="58"/>
    </row>
    <row r="84" spans="1:33">
      <c r="A84" s="636" t="str">
        <f>A83</f>
        <v>Martin Molyneux</v>
      </c>
      <c r="B84" s="637" t="str">
        <f t="shared" si="7"/>
        <v>Fulham</v>
      </c>
      <c r="C84" s="631">
        <f>IF(J84="","",INDEX(Odds!C:C,MATCH(J84,Odds!G:G,0)))</f>
        <v>7</v>
      </c>
      <c r="D84" s="638">
        <f t="shared" si="8"/>
        <v>1.9090909090909092</v>
      </c>
      <c r="E84" s="639" t="str">
        <f t="shared" si="10"/>
        <v>√</v>
      </c>
      <c r="F84" s="640"/>
      <c r="G84" s="641"/>
      <c r="H84" s="360">
        <f>IF(G83="",0,1)</f>
        <v>1</v>
      </c>
      <c r="I84" s="360"/>
      <c r="J84" s="419" t="s">
        <v>586</v>
      </c>
      <c r="K84" s="655" t="str">
        <f>INDEX(Odds!H:H,MATCH(J84,Odds!G:G,0))</f>
        <v>10/11</v>
      </c>
      <c r="L84" s="656">
        <f>INDEX(Odds!I:I,MATCH(J84,Odds!G:G,0))</f>
        <v>1.9090909090909092</v>
      </c>
      <c r="M84" s="653">
        <f>INDEX(Odds!J:J,MATCH(J84,Odds!G:G,0))</f>
        <v>1</v>
      </c>
      <c r="N84" s="654">
        <f t="shared" si="9"/>
        <v>1.9090909090909092</v>
      </c>
      <c r="O84" s="525"/>
      <c r="P84" s="58"/>
      <c r="R84" s="35" t="str">
        <f>IF(Odds!G84="","",Odds!G84)</f>
        <v>Fleetwood draw</v>
      </c>
      <c r="S84" s="36" t="str">
        <f>INDEX(Odds!H:H,MATCH(R84,Odds!G:G,0))</f>
        <v>21/10</v>
      </c>
      <c r="T84" s="40">
        <f t="shared" si="6"/>
        <v>1</v>
      </c>
      <c r="Y84" s="8">
        <f>INDEX(Odds!K:K,MATCH(J84,Odds!G:G,0))</f>
        <v>1</v>
      </c>
      <c r="AB84" s="528" t="str">
        <f>IF(O84="","",INDEX(Odds!H:H,MATCH(O84,Odds!G:G,0)))</f>
        <v/>
      </c>
      <c r="AC84" s="528" t="str">
        <f>IF(INDEX(Table!Q:Q,MATCH(A84,Table!F:F,0))="N","N","")</f>
        <v/>
      </c>
      <c r="AD84" s="58"/>
      <c r="AE84" s="58"/>
      <c r="AF84" s="417"/>
      <c r="AG84" s="58"/>
    </row>
    <row r="85" spans="1:33" ht="13.5" thickBot="1">
      <c r="A85" s="642" t="str">
        <f>A83</f>
        <v>Martin Molyneux</v>
      </c>
      <c r="B85" s="643" t="str">
        <f t="shared" si="7"/>
        <v>Spurs</v>
      </c>
      <c r="C85" s="644">
        <f>IF(J85="","",INDEX(Odds!C:C,MATCH(J85,Odds!G:G,0)))</f>
        <v>7</v>
      </c>
      <c r="D85" s="645">
        <f t="shared" si="8"/>
        <v>2.15</v>
      </c>
      <c r="E85" s="639" t="str">
        <f t="shared" si="10"/>
        <v>√</v>
      </c>
      <c r="F85" s="640"/>
      <c r="G85" s="641"/>
      <c r="H85" s="360"/>
      <c r="I85" s="360"/>
      <c r="J85" s="420" t="s">
        <v>412</v>
      </c>
      <c r="K85" s="657" t="str">
        <f>INDEX(Odds!H:H,MATCH(J85,Odds!G:G,0))</f>
        <v>23/20</v>
      </c>
      <c r="L85" s="658">
        <f>INDEX(Odds!I:I,MATCH(J85,Odds!G:G,0))</f>
        <v>2.15</v>
      </c>
      <c r="M85" s="653">
        <f>INDEX(Odds!J:J,MATCH(J85,Odds!G:G,0))</f>
        <v>1</v>
      </c>
      <c r="N85" s="659">
        <f t="shared" si="9"/>
        <v>2.15</v>
      </c>
      <c r="O85" s="526"/>
      <c r="P85" s="58"/>
      <c r="R85" s="35" t="str">
        <f>IF(Odds!G85="","",Odds!G85)</f>
        <v>Gillingham draw</v>
      </c>
      <c r="S85" s="36" t="str">
        <f>INDEX(Odds!H:H,MATCH(R85,Odds!G:G,0))</f>
        <v>2/1</v>
      </c>
      <c r="T85" s="40">
        <f t="shared" si="6"/>
        <v>0</v>
      </c>
      <c r="Y85" s="8">
        <f>INDEX(Odds!K:K,MATCH(J85,Odds!G:G,0))</f>
        <v>1</v>
      </c>
      <c r="AB85" s="529" t="str">
        <f>IF(O85="","",INDEX(Odds!H:H,MATCH(O85,Odds!G:G,0)))</f>
        <v/>
      </c>
      <c r="AC85" s="529" t="str">
        <f>IF(INDEX(Table!Q:Q,MATCH(A85,Table!F:F,0))="N","N","")</f>
        <v/>
      </c>
      <c r="AD85" s="58"/>
      <c r="AE85" s="58"/>
      <c r="AF85" s="417"/>
      <c r="AG85" s="58"/>
    </row>
    <row r="86" spans="1:33" ht="13.9" thickTop="1" thickBot="1">
      <c r="A86" s="629" t="str">
        <f>Results!B86</f>
        <v>Martin Tarbuck</v>
      </c>
      <c r="B86" s="630" t="str">
        <f t="shared" si="7"/>
        <v>Arsenal</v>
      </c>
      <c r="C86" s="631">
        <f>IF(J86="","",INDEX(Odds!C:C,MATCH(J86,Odds!G:G,0)))</f>
        <v>7</v>
      </c>
      <c r="D86" s="632">
        <f t="shared" si="8"/>
        <v>1.4</v>
      </c>
      <c r="E86" s="633" t="str">
        <f t="shared" si="10"/>
        <v>√</v>
      </c>
      <c r="F86" s="634">
        <f>IF(J86="",-10,INDEX(Results!T:T,MATCH(A86,Results!V:V,0)))</f>
        <v>9.1120000000000019</v>
      </c>
      <c r="G86" s="635">
        <f>IF(J86="","",INDEX(Results!AI:AI,MATCH(A86,Results!V:V,0)))</f>
        <v>9.1120000000000019</v>
      </c>
      <c r="H86" s="360" t="str">
        <f>IF(INDEX(Table!Q:Q,MATCH(A86,Table!F:F,0))="N","N","Y")</f>
        <v>Y</v>
      </c>
      <c r="I86" s="359">
        <f>INDEX(Picks!AG:AG,MATCH(A86,Picks!AD:AD,0))</f>
        <v>5</v>
      </c>
      <c r="J86" s="419" t="s">
        <v>579</v>
      </c>
      <c r="K86" s="651" t="str">
        <f>INDEX(Odds!H:H,MATCH(J86,Odds!G:G,0))</f>
        <v>2/5</v>
      </c>
      <c r="L86" s="652">
        <f>INDEX(Odds!I:I,MATCH(J86,Odds!G:G,0))</f>
        <v>1.4</v>
      </c>
      <c r="M86" s="660">
        <f>INDEX(Odds!J:J,MATCH(J86,Odds!G:G,0))</f>
        <v>1</v>
      </c>
      <c r="N86" s="654">
        <f t="shared" si="9"/>
        <v>1.4</v>
      </c>
      <c r="O86" s="525"/>
      <c r="P86" s="58"/>
      <c r="R86" s="35" t="str">
        <f>IF(Odds!G86="","",Odds!G86)</f>
        <v>Grimsby draw</v>
      </c>
      <c r="S86" s="36" t="str">
        <f>INDEX(Odds!H:H,MATCH(R86,Odds!G:G,0))</f>
        <v>11/5</v>
      </c>
      <c r="T86" s="40">
        <f t="shared" si="6"/>
        <v>1</v>
      </c>
      <c r="Y86" s="8">
        <f>INDEX(Odds!K:K,MATCH(J86,Odds!G:G,0))</f>
        <v>1</v>
      </c>
      <c r="AB86" s="528" t="str">
        <f>IF(O86="","",INDEX(Odds!H:H,MATCH(O86,Odds!G:G,0)))</f>
        <v/>
      </c>
      <c r="AC86" s="528" t="str">
        <f>IF(INDEX(Table!Q:Q,MATCH(A86,Table!F:F,0))="N","N","")</f>
        <v/>
      </c>
      <c r="AD86" s="58"/>
      <c r="AE86" s="58"/>
      <c r="AF86" s="417"/>
      <c r="AG86" s="58"/>
    </row>
    <row r="87" spans="1:33">
      <c r="A87" s="636" t="str">
        <f>A86</f>
        <v>Martin Tarbuck</v>
      </c>
      <c r="B87" s="637" t="str">
        <f t="shared" si="7"/>
        <v>Bristol C</v>
      </c>
      <c r="C87" s="631">
        <f>IF(J87="","",INDEX(Odds!C:C,MATCH(J87,Odds!G:G,0)))</f>
        <v>7</v>
      </c>
      <c r="D87" s="638">
        <f t="shared" si="8"/>
        <v>2.1</v>
      </c>
      <c r="E87" s="639" t="str">
        <f t="shared" si="10"/>
        <v>√</v>
      </c>
      <c r="F87" s="640"/>
      <c r="G87" s="641"/>
      <c r="H87" s="360">
        <f>IF(G86="",0,1)</f>
        <v>1</v>
      </c>
      <c r="I87" s="360"/>
      <c r="J87" s="419" t="s">
        <v>536</v>
      </c>
      <c r="K87" s="655" t="str">
        <f>INDEX(Odds!H:H,MATCH(J87,Odds!G:G,0))</f>
        <v>11/10</v>
      </c>
      <c r="L87" s="656">
        <f>INDEX(Odds!I:I,MATCH(J87,Odds!G:G,0))</f>
        <v>2.1</v>
      </c>
      <c r="M87" s="653">
        <f>INDEX(Odds!J:J,MATCH(J87,Odds!G:G,0))</f>
        <v>1</v>
      </c>
      <c r="N87" s="654">
        <f t="shared" si="9"/>
        <v>2.1</v>
      </c>
      <c r="O87" s="525"/>
      <c r="P87" s="58"/>
      <c r="R87" s="35" t="str">
        <f>IF(Odds!G87="","",Odds!G87)</f>
        <v>Oldham draw</v>
      </c>
      <c r="S87" s="36" t="str">
        <f>INDEX(Odds!H:H,MATCH(R87,Odds!G:G,0))</f>
        <v>21/10</v>
      </c>
      <c r="T87" s="40">
        <f t="shared" si="6"/>
        <v>0</v>
      </c>
      <c r="Y87" s="8">
        <f>INDEX(Odds!K:K,MATCH(J87,Odds!G:G,0))</f>
        <v>1</v>
      </c>
      <c r="AB87" s="528" t="str">
        <f>IF(O87="","",INDEX(Odds!H:H,MATCH(O87,Odds!G:G,0)))</f>
        <v/>
      </c>
      <c r="AC87" s="528" t="str">
        <f>IF(INDEX(Table!Q:Q,MATCH(A87,Table!F:F,0))="N","N","")</f>
        <v/>
      </c>
      <c r="AD87" s="58"/>
      <c r="AE87" s="58"/>
      <c r="AF87" s="417"/>
      <c r="AG87" s="58"/>
    </row>
    <row r="88" spans="1:33" ht="13.5" thickBot="1">
      <c r="A88" s="642" t="str">
        <f>A86</f>
        <v>Martin Tarbuck</v>
      </c>
      <c r="B88" s="643" t="str">
        <f t="shared" si="7"/>
        <v>Liverpool</v>
      </c>
      <c r="C88" s="644">
        <f>IF(J88="","",INDEX(Odds!C:C,MATCH(J88,Odds!G:G,0)))</f>
        <v>1</v>
      </c>
      <c r="D88" s="645">
        <f t="shared" si="8"/>
        <v>1.3</v>
      </c>
      <c r="E88" s="639" t="str">
        <f t="shared" si="10"/>
        <v>√</v>
      </c>
      <c r="F88" s="640"/>
      <c r="G88" s="641"/>
      <c r="H88" s="360"/>
      <c r="I88" s="360"/>
      <c r="J88" s="420" t="s">
        <v>632</v>
      </c>
      <c r="K88" s="657" t="str">
        <f>INDEX(Odds!H:H,MATCH(J88,Odds!G:G,0))</f>
        <v>3/10</v>
      </c>
      <c r="L88" s="658">
        <f>INDEX(Odds!I:I,MATCH(J88,Odds!G:G,0))</f>
        <v>1.3</v>
      </c>
      <c r="M88" s="653">
        <f>INDEX(Odds!J:J,MATCH(J88,Odds!G:G,0))</f>
        <v>1</v>
      </c>
      <c r="N88" s="659">
        <f t="shared" si="9"/>
        <v>1.3</v>
      </c>
      <c r="O88" s="526"/>
      <c r="P88" s="58"/>
      <c r="R88" s="35" t="str">
        <f>IF(Odds!G88="","",Odds!G88)</f>
        <v>Shrewsbury draw</v>
      </c>
      <c r="S88" s="36" t="str">
        <f>INDEX(Odds!H:H,MATCH(R88,Odds!G:G,0))</f>
        <v>21/10</v>
      </c>
      <c r="T88" s="40">
        <f t="shared" si="6"/>
        <v>0</v>
      </c>
      <c r="Y88" s="8">
        <f>INDEX(Odds!K:K,MATCH(J88,Odds!G:G,0))</f>
        <v>1</v>
      </c>
      <c r="AB88" s="529" t="str">
        <f>IF(O88="","",INDEX(Odds!H:H,MATCH(O88,Odds!G:G,0)))</f>
        <v/>
      </c>
      <c r="AC88" s="529" t="str">
        <f>IF(INDEX(Table!Q:Q,MATCH(A88,Table!F:F,0))="N","N","")</f>
        <v/>
      </c>
      <c r="AD88" s="58"/>
      <c r="AE88" s="58"/>
      <c r="AF88" s="417"/>
      <c r="AG88" s="58"/>
    </row>
    <row r="89" spans="1:33" ht="13.9" thickTop="1" thickBot="1">
      <c r="A89" s="629" t="str">
        <f>Results!B89</f>
        <v>Mike Penk</v>
      </c>
      <c r="B89" s="630" t="str">
        <f t="shared" si="7"/>
        <v>Cardiff</v>
      </c>
      <c r="C89" s="631">
        <f>IF(J89="","",INDEX(Odds!C:C,MATCH(J89,Odds!G:G,0)))</f>
        <v>7</v>
      </c>
      <c r="D89" s="632">
        <f t="shared" si="8"/>
        <v>2.5</v>
      </c>
      <c r="E89" s="633" t="str">
        <f t="shared" si="10"/>
        <v>x</v>
      </c>
      <c r="F89" s="634">
        <f>IF(J89="",-10,INDEX(Results!T:T,MATCH(A89,Results!V:V,0)))</f>
        <v>-5.15</v>
      </c>
      <c r="G89" s="635">
        <f>IF(J89="","",INDEX(Results!AI:AI,MATCH(A89,Results!V:V,0)))</f>
        <v>20.428750000000001</v>
      </c>
      <c r="H89" s="360" t="str">
        <f>IF(INDEX(Table!Q:Q,MATCH(A89,Table!F:F,0))="N","N","Y")</f>
        <v>Y</v>
      </c>
      <c r="I89" s="359">
        <f>INDEX(Picks!AG:AG,MATCH(A89,Picks!AD:AD,0))</f>
        <v>32</v>
      </c>
      <c r="J89" s="419" t="s">
        <v>617</v>
      </c>
      <c r="K89" s="651" t="str">
        <f>INDEX(Odds!H:H,MATCH(J89,Odds!G:G,0))</f>
        <v>6/4</v>
      </c>
      <c r="L89" s="652">
        <f>INDEX(Odds!I:I,MATCH(J89,Odds!G:G,0))</f>
        <v>2.5</v>
      </c>
      <c r="M89" s="660">
        <f>INDEX(Odds!J:J,MATCH(J89,Odds!G:G,0))</f>
        <v>0</v>
      </c>
      <c r="N89" s="654">
        <f t="shared" si="9"/>
        <v>0</v>
      </c>
      <c r="O89" s="525"/>
      <c r="P89" s="58"/>
      <c r="R89" s="35" t="str">
        <f>IF(Odds!G89="","",Odds!G89)</f>
        <v>Swindon draw</v>
      </c>
      <c r="S89" s="36" t="str">
        <f>INDEX(Odds!H:H,MATCH(R89,Odds!G:G,0))</f>
        <v>5/2</v>
      </c>
      <c r="T89" s="40">
        <f t="shared" si="6"/>
        <v>0</v>
      </c>
      <c r="Y89" s="8">
        <f>INDEX(Odds!K:K,MATCH(J89,Odds!G:G,0))</f>
        <v>1</v>
      </c>
      <c r="AB89" s="528" t="str">
        <f>IF(O89="","",INDEX(Odds!H:H,MATCH(O89,Odds!G:G,0)))</f>
        <v/>
      </c>
      <c r="AC89" s="528" t="str">
        <f>IF(INDEX(Table!Q:Q,MATCH(A89,Table!F:F,0))="N","N","")</f>
        <v/>
      </c>
      <c r="AD89" s="58"/>
      <c r="AE89" s="58"/>
      <c r="AF89" s="417"/>
      <c r="AG89" s="58"/>
    </row>
    <row r="90" spans="1:33">
      <c r="A90" s="636" t="str">
        <f>A89</f>
        <v>Mike Penk</v>
      </c>
      <c r="B90" s="637" t="str">
        <f t="shared" si="7"/>
        <v>Wrexham</v>
      </c>
      <c r="C90" s="631">
        <f>IF(J90="","",INDEX(Odds!C:C,MATCH(J90,Odds!G:G,0)))</f>
        <v>7</v>
      </c>
      <c r="D90" s="638">
        <f t="shared" si="8"/>
        <v>1.85</v>
      </c>
      <c r="E90" s="639" t="str">
        <f t="shared" si="10"/>
        <v>x</v>
      </c>
      <c r="F90" s="640"/>
      <c r="G90" s="641"/>
      <c r="H90" s="360">
        <f>IF(G89="",0,1)</f>
        <v>1</v>
      </c>
      <c r="I90" s="360"/>
      <c r="J90" s="419" t="s">
        <v>543</v>
      </c>
      <c r="K90" s="655" t="str">
        <f>INDEX(Odds!H:H,MATCH(J90,Odds!G:G,0))</f>
        <v>17/20</v>
      </c>
      <c r="L90" s="656">
        <f>INDEX(Odds!I:I,MATCH(J90,Odds!G:G,0))</f>
        <v>1.85</v>
      </c>
      <c r="M90" s="653">
        <f>INDEX(Odds!J:J,MATCH(J90,Odds!G:G,0))</f>
        <v>0</v>
      </c>
      <c r="N90" s="654">
        <f t="shared" si="9"/>
        <v>0</v>
      </c>
      <c r="O90" s="525"/>
      <c r="P90" s="58"/>
      <c r="R90" s="35" t="str">
        <f>IF(Odds!G90="","",Odds!G90)</f>
        <v>Tranmere draw</v>
      </c>
      <c r="S90" s="36" t="str">
        <f>INDEX(Odds!H:H,MATCH(R90,Odds!G:G,0))</f>
        <v>5/2</v>
      </c>
      <c r="T90" s="40">
        <f t="shared" si="6"/>
        <v>1</v>
      </c>
      <c r="Y90" s="8">
        <f>INDEX(Odds!K:K,MATCH(J90,Odds!G:G,0))</f>
        <v>1</v>
      </c>
      <c r="AB90" s="528" t="str">
        <f>IF(O90="","",INDEX(Odds!H:H,MATCH(O90,Odds!G:G,0)))</f>
        <v/>
      </c>
      <c r="AC90" s="528" t="str">
        <f>IF(INDEX(Table!Q:Q,MATCH(A90,Table!F:F,0))="N","N","")</f>
        <v/>
      </c>
      <c r="AD90" s="58"/>
      <c r="AE90" s="58"/>
      <c r="AF90" s="417"/>
      <c r="AG90" s="58"/>
    </row>
    <row r="91" spans="1:33" ht="13.5" thickBot="1">
      <c r="A91" s="642" t="str">
        <f>A89</f>
        <v>Mike Penk</v>
      </c>
      <c r="B91" s="643" t="str">
        <f t="shared" si="7"/>
        <v>Barnsley</v>
      </c>
      <c r="C91" s="644">
        <f>IF(J91="","",INDEX(Odds!C:C,MATCH(J91,Odds!G:G,0)))</f>
        <v>7</v>
      </c>
      <c r="D91" s="645">
        <f t="shared" si="8"/>
        <v>1.85</v>
      </c>
      <c r="E91" s="639" t="str">
        <f t="shared" si="10"/>
        <v>√</v>
      </c>
      <c r="F91" s="640"/>
      <c r="G91" s="641"/>
      <c r="H91" s="360"/>
      <c r="I91" s="360"/>
      <c r="J91" s="420" t="s">
        <v>609</v>
      </c>
      <c r="K91" s="657" t="str">
        <f>INDEX(Odds!H:H,MATCH(J91,Odds!G:G,0))</f>
        <v>17/20</v>
      </c>
      <c r="L91" s="658">
        <f>INDEX(Odds!I:I,MATCH(J91,Odds!G:G,0))</f>
        <v>1.85</v>
      </c>
      <c r="M91" s="653">
        <f>INDEX(Odds!J:J,MATCH(J91,Odds!G:G,0))</f>
        <v>1</v>
      </c>
      <c r="N91" s="659">
        <f t="shared" si="9"/>
        <v>1.85</v>
      </c>
      <c r="O91" s="526"/>
      <c r="P91" s="58"/>
      <c r="R91" s="35" t="str">
        <f>IF(Odds!G91="","",Odds!G91)</f>
        <v>Burnley draw</v>
      </c>
      <c r="S91" s="36" t="str">
        <f>INDEX(Odds!H:H,MATCH(R91,Odds!G:G,0))</f>
        <v>4/1</v>
      </c>
      <c r="T91" s="40">
        <f t="shared" si="6"/>
        <v>0</v>
      </c>
      <c r="Y91" s="8">
        <f>INDEX(Odds!K:K,MATCH(J91,Odds!G:G,0))</f>
        <v>1</v>
      </c>
      <c r="AB91" s="529" t="str">
        <f>IF(O91="","",INDEX(Odds!H:H,MATCH(O91,Odds!G:G,0)))</f>
        <v/>
      </c>
      <c r="AC91" s="529" t="str">
        <f>IF(INDEX(Table!Q:Q,MATCH(A91,Table!F:F,0))="N","N","")</f>
        <v/>
      </c>
      <c r="AD91" s="58"/>
      <c r="AE91" s="58"/>
      <c r="AF91" s="417"/>
      <c r="AG91" s="58"/>
    </row>
    <row r="92" spans="1:33" ht="13.9" thickTop="1" thickBot="1">
      <c r="A92" s="629" t="str">
        <f>Results!B92</f>
        <v>Nick Blocksidge</v>
      </c>
      <c r="B92" s="630" t="str">
        <f t="shared" si="7"/>
        <v>Bournemouth draw</v>
      </c>
      <c r="C92" s="631">
        <f>IF(J92="","",INDEX(Odds!C:C,MATCH(J92,Odds!G:G,0)))</f>
        <v>7</v>
      </c>
      <c r="D92" s="632">
        <f t="shared" si="8"/>
        <v>3.5</v>
      </c>
      <c r="E92" s="633" t="str">
        <f t="shared" si="10"/>
        <v>x</v>
      </c>
      <c r="F92" s="634">
        <f>IF(J92="",-10,INDEX(Results!T:T,MATCH(A92,Results!V:V,0)))</f>
        <v>-5.5555555555555554</v>
      </c>
      <c r="G92" s="635">
        <f>IF(J92="","",INDEX(Results!AI:AI,MATCH(A92,Results!V:V,0)))</f>
        <v>29.950000000000003</v>
      </c>
      <c r="H92" s="360" t="str">
        <f>IF(INDEX(Table!Q:Q,MATCH(A92,Table!F:F,0))="N","N","Y")</f>
        <v>Y</v>
      </c>
      <c r="I92" s="359">
        <f>INDEX(Picks!AG:AG,MATCH(A92,Picks!AD:AD,0))</f>
        <v>33</v>
      </c>
      <c r="J92" s="419" t="s">
        <v>637</v>
      </c>
      <c r="K92" s="651" t="str">
        <f>INDEX(Odds!H:H,MATCH(J92,Odds!G:G,0))</f>
        <v>5/2</v>
      </c>
      <c r="L92" s="652">
        <f>INDEX(Odds!I:I,MATCH(J92,Odds!G:G,0))</f>
        <v>3.5</v>
      </c>
      <c r="M92" s="660">
        <f>INDEX(Odds!J:J,MATCH(J92,Odds!G:G,0))</f>
        <v>0</v>
      </c>
      <c r="N92" s="654">
        <f t="shared" si="9"/>
        <v>0</v>
      </c>
      <c r="O92" s="525"/>
      <c r="P92" s="58"/>
      <c r="R92" s="35" t="str">
        <f>IF(Odds!G92="","",Odds!G92)</f>
        <v>Man C draw</v>
      </c>
      <c r="S92" s="36" t="str">
        <f>INDEX(Odds!H:H,MATCH(R92,Odds!G:G,0))</f>
        <v>3/1</v>
      </c>
      <c r="T92" s="40">
        <f t="shared" si="6"/>
        <v>0</v>
      </c>
      <c r="Y92" s="8">
        <f>INDEX(Odds!K:K,MATCH(J92,Odds!G:G,0))</f>
        <v>1</v>
      </c>
      <c r="AB92" s="528" t="str">
        <f>IF(O92="","",INDEX(Odds!H:H,MATCH(O92,Odds!G:G,0)))</f>
        <v/>
      </c>
      <c r="AC92" s="528" t="str">
        <f>IF(INDEX(Table!Q:Q,MATCH(A92,Table!F:F,0))="N","N","")</f>
        <v/>
      </c>
      <c r="AD92" s="58"/>
      <c r="AE92" s="58"/>
      <c r="AF92" s="417"/>
      <c r="AG92" s="58"/>
    </row>
    <row r="93" spans="1:33">
      <c r="A93" s="636" t="str">
        <f>A92</f>
        <v>Nick Blocksidge</v>
      </c>
      <c r="B93" s="637" t="str">
        <f t="shared" si="7"/>
        <v>Everton</v>
      </c>
      <c r="C93" s="631">
        <f>IF(J93="","",INDEX(Odds!C:C,MATCH(J93,Odds!G:G,0)))</f>
        <v>7</v>
      </c>
      <c r="D93" s="638">
        <f t="shared" si="8"/>
        <v>2.4500000000000002</v>
      </c>
      <c r="E93" s="639" t="str">
        <f t="shared" si="10"/>
        <v>x</v>
      </c>
      <c r="F93" s="640"/>
      <c r="G93" s="641"/>
      <c r="H93" s="360">
        <f>IF(G92="",0,1)</f>
        <v>1</v>
      </c>
      <c r="I93" s="360"/>
      <c r="J93" s="419" t="s">
        <v>585</v>
      </c>
      <c r="K93" s="655" t="str">
        <f>INDEX(Odds!H:H,MATCH(J93,Odds!G:G,0))</f>
        <v>29/20</v>
      </c>
      <c r="L93" s="656">
        <f>INDEX(Odds!I:I,MATCH(J93,Odds!G:G,0))</f>
        <v>2.4500000000000002</v>
      </c>
      <c r="M93" s="653">
        <f>INDEX(Odds!J:J,MATCH(J93,Odds!G:G,0))</f>
        <v>0</v>
      </c>
      <c r="N93" s="654">
        <f t="shared" si="9"/>
        <v>0</v>
      </c>
      <c r="O93" s="525"/>
      <c r="P93" s="58"/>
      <c r="R93" s="41" t="str">
        <f>IF(Odds!G93="","",Odds!G93)</f>
        <v>Southampton draw</v>
      </c>
      <c r="S93" s="42" t="str">
        <f>INDEX(Odds!H:H,MATCH(R93,Odds!G:G,0))</f>
        <v>27/10</v>
      </c>
      <c r="T93" s="43">
        <f t="shared" si="6"/>
        <v>1</v>
      </c>
      <c r="Y93" s="8">
        <f>INDEX(Odds!K:K,MATCH(J93,Odds!G:G,0))</f>
        <v>1</v>
      </c>
      <c r="AB93" s="528" t="str">
        <f>IF(O93="","",INDEX(Odds!H:H,MATCH(O93,Odds!G:G,0)))</f>
        <v/>
      </c>
      <c r="AC93" s="528" t="str">
        <f>IF(INDEX(Table!Q:Q,MATCH(A93,Table!F:F,0))="N","N","")</f>
        <v/>
      </c>
      <c r="AD93" s="58"/>
      <c r="AE93" s="58"/>
      <c r="AF93" s="417"/>
      <c r="AG93" s="58"/>
    </row>
    <row r="94" spans="1:33" ht="13.5" thickBot="1">
      <c r="A94" s="642" t="str">
        <f>A92</f>
        <v>Nick Blocksidge</v>
      </c>
      <c r="B94" s="643" t="str">
        <f t="shared" si="7"/>
        <v>Newcastle</v>
      </c>
      <c r="C94" s="644">
        <f>IF(J94="","",INDEX(Odds!C:C,MATCH(J94,Odds!G:G,0)))</f>
        <v>7</v>
      </c>
      <c r="D94" s="645">
        <f t="shared" si="8"/>
        <v>1.4444444444444444</v>
      </c>
      <c r="E94" s="639" t="str">
        <f t="shared" si="10"/>
        <v>√</v>
      </c>
      <c r="F94" s="640"/>
      <c r="G94" s="641"/>
      <c r="H94" s="360"/>
      <c r="I94" s="360"/>
      <c r="J94" s="420" t="s">
        <v>588</v>
      </c>
      <c r="K94" s="657" t="str">
        <f>INDEX(Odds!H:H,MATCH(J94,Odds!G:G,0))</f>
        <v>4/9</v>
      </c>
      <c r="L94" s="658">
        <f>INDEX(Odds!I:I,MATCH(J94,Odds!G:G,0))</f>
        <v>1.4444444444444444</v>
      </c>
      <c r="M94" s="653">
        <f>INDEX(Odds!J:J,MATCH(J94,Odds!G:G,0))</f>
        <v>1</v>
      </c>
      <c r="N94" s="659">
        <f t="shared" si="9"/>
        <v>1.4444444444444444</v>
      </c>
      <c r="O94" s="526"/>
      <c r="P94" s="58"/>
      <c r="R94" s="37" t="str">
        <f>IF(Odds!G94="","",Odds!G94)</f>
        <v>Sheff U</v>
      </c>
      <c r="S94" s="38" t="str">
        <f>INDEX(Odds!H:H,MATCH(R94,Odds!G:G,0))</f>
        <v>3/1</v>
      </c>
      <c r="T94" s="39">
        <f t="shared" ref="T94:T133" si="11">IF(V2&lt;X2,1,0)</f>
        <v>0</v>
      </c>
      <c r="Y94" s="8">
        <f>INDEX(Odds!K:K,MATCH(J94,Odds!G:G,0))</f>
        <v>1</v>
      </c>
      <c r="AB94" s="529" t="str">
        <f>IF(O94="","",INDEX(Odds!H:H,MATCH(O94,Odds!G:G,0)))</f>
        <v/>
      </c>
      <c r="AC94" s="529" t="str">
        <f>IF(INDEX(Table!Q:Q,MATCH(A94,Table!F:F,0))="N","N","")</f>
        <v/>
      </c>
      <c r="AD94" s="58"/>
      <c r="AE94" s="58"/>
      <c r="AF94" s="417"/>
      <c r="AG94" s="58"/>
    </row>
    <row r="95" spans="1:33" ht="13.5" customHeight="1" thickTop="1" thickBot="1">
      <c r="A95" s="629" t="str">
        <f>Results!B95</f>
        <v>Nigel Heyes</v>
      </c>
      <c r="B95" s="630" t="str">
        <f t="shared" si="7"/>
        <v>Watford</v>
      </c>
      <c r="C95" s="631">
        <f>IF(J95="","",INDEX(Odds!C:C,MATCH(J95,Odds!G:G,0)))</f>
        <v>7</v>
      </c>
      <c r="D95" s="632">
        <f t="shared" si="8"/>
        <v>2.4500000000000002</v>
      </c>
      <c r="E95" s="633" t="str">
        <f t="shared" si="10"/>
        <v>x</v>
      </c>
      <c r="F95" s="634">
        <f>IF(J95="",-10,INDEX(Results!T:T,MATCH(A95,Results!V:V,0)))</f>
        <v>-7</v>
      </c>
      <c r="G95" s="635">
        <f>IF(J95="","",INDEX(Results!AI:AI,MATCH(A95,Results!V:V,0)))</f>
        <v>34.383250000000004</v>
      </c>
      <c r="H95" s="360" t="str">
        <f>IF(INDEX(Table!Q:Q,MATCH(A95,Table!F:F,0))="N","N","Y")</f>
        <v>Y</v>
      </c>
      <c r="I95" s="359">
        <f>INDEX(Picks!AG:AG,MATCH(A95,Picks!AD:AD,0))</f>
        <v>36</v>
      </c>
      <c r="J95" s="419" t="s">
        <v>603</v>
      </c>
      <c r="K95" s="651" t="str">
        <f>INDEX(Odds!H:H,MATCH(J95,Odds!G:G,0))</f>
        <v>29/20</v>
      </c>
      <c r="L95" s="652">
        <f>INDEX(Odds!I:I,MATCH(J95,Odds!G:G,0))</f>
        <v>2.4500000000000002</v>
      </c>
      <c r="M95" s="660">
        <f>INDEX(Odds!J:J,MATCH(J95,Odds!G:G,0))</f>
        <v>0</v>
      </c>
      <c r="N95" s="654">
        <f t="shared" ref="N95:N133" si="12">L95*M95</f>
        <v>0</v>
      </c>
      <c r="O95" s="525"/>
      <c r="P95" s="58"/>
      <c r="R95" s="35" t="str">
        <f>IF(Odds!G95="","",Odds!G95)</f>
        <v>Forest</v>
      </c>
      <c r="S95" s="36" t="str">
        <f>INDEX(Odds!H:H,MATCH(R95,Odds!G:G,0))</f>
        <v>13/2</v>
      </c>
      <c r="T95" s="40">
        <f t="shared" si="11"/>
        <v>0</v>
      </c>
      <c r="Y95" s="8">
        <f>INDEX(Odds!K:K,MATCH(J95,Odds!G:G,0))</f>
        <v>1</v>
      </c>
      <c r="AB95" s="528" t="str">
        <f>IF(O95="","",INDEX(Odds!H:H,MATCH(O95,Odds!G:G,0)))</f>
        <v/>
      </c>
      <c r="AC95" s="528" t="str">
        <f>IF(INDEX(Table!Q:Q,MATCH(A95,Table!F:F,0))="N","N","")</f>
        <v/>
      </c>
      <c r="AD95" s="58"/>
      <c r="AE95" s="58"/>
      <c r="AF95" s="417"/>
      <c r="AG95" s="58"/>
    </row>
    <row r="96" spans="1:33">
      <c r="A96" s="636" t="str">
        <f>A95</f>
        <v>Nigel Heyes</v>
      </c>
      <c r="B96" s="637" t="str">
        <f t="shared" si="7"/>
        <v>Orient</v>
      </c>
      <c r="C96" s="631">
        <f>IF(J96="","",INDEX(Odds!C:C,MATCH(J96,Odds!G:G,0)))</f>
        <v>7</v>
      </c>
      <c r="D96" s="638">
        <f t="shared" si="8"/>
        <v>2.9</v>
      </c>
      <c r="E96" s="639" t="str">
        <f t="shared" si="10"/>
        <v>x</v>
      </c>
      <c r="F96" s="640"/>
      <c r="G96" s="641"/>
      <c r="H96" s="360">
        <f>IF(G95="",0,1)</f>
        <v>1</v>
      </c>
      <c r="I96" s="360"/>
      <c r="J96" s="419" t="s">
        <v>554</v>
      </c>
      <c r="K96" s="655" t="str">
        <f>INDEX(Odds!H:H,MATCH(J96,Odds!G:G,0))</f>
        <v>19/10</v>
      </c>
      <c r="L96" s="656">
        <f>INDEX(Odds!I:I,MATCH(J96,Odds!G:G,0))</f>
        <v>2.9</v>
      </c>
      <c r="M96" s="653">
        <f>INDEX(Odds!J:J,MATCH(J96,Odds!G:G,0))</f>
        <v>0</v>
      </c>
      <c r="N96" s="654">
        <f t="shared" si="12"/>
        <v>0</v>
      </c>
      <c r="O96" s="525"/>
      <c r="P96" s="58"/>
      <c r="R96" s="35" t="str">
        <f>IF(Odds!G96="","",Odds!G96)</f>
        <v>Brighton</v>
      </c>
      <c r="S96" s="36" t="str">
        <f>INDEX(Odds!H:H,MATCH(R96,Odds!G:G,0))</f>
        <v>9/5</v>
      </c>
      <c r="T96" s="40">
        <f t="shared" si="11"/>
        <v>0</v>
      </c>
      <c r="Y96" s="8">
        <f>INDEX(Odds!K:K,MATCH(J96,Odds!G:G,0))</f>
        <v>1</v>
      </c>
      <c r="AB96" s="528" t="str">
        <f>IF(O96="","",INDEX(Odds!H:H,MATCH(O96,Odds!G:G,0)))</f>
        <v/>
      </c>
      <c r="AC96" s="528" t="str">
        <f>IF(INDEX(Table!Q:Q,MATCH(A96,Table!F:F,0))="N","N","")</f>
        <v/>
      </c>
      <c r="AD96" s="58"/>
      <c r="AE96" s="58"/>
      <c r="AF96" s="417"/>
      <c r="AG96" s="58"/>
    </row>
    <row r="97" spans="1:33" ht="13.5" thickBot="1">
      <c r="A97" s="642" t="str">
        <f>A95</f>
        <v>Nigel Heyes</v>
      </c>
      <c r="B97" s="643" t="str">
        <f t="shared" si="7"/>
        <v>Chesterfield</v>
      </c>
      <c r="C97" s="644">
        <f>IF(J97="","",INDEX(Odds!C:C,MATCH(J97,Odds!G:G,0)))</f>
        <v>7</v>
      </c>
      <c r="D97" s="645">
        <f t="shared" si="8"/>
        <v>2.15</v>
      </c>
      <c r="E97" s="639" t="str">
        <f t="shared" si="10"/>
        <v>x</v>
      </c>
      <c r="F97" s="640"/>
      <c r="G97" s="641"/>
      <c r="H97" s="360"/>
      <c r="I97" s="360"/>
      <c r="J97" s="420" t="s">
        <v>557</v>
      </c>
      <c r="K97" s="657" t="str">
        <f>INDEX(Odds!H:H,MATCH(J97,Odds!G:G,0))</f>
        <v>23/20</v>
      </c>
      <c r="L97" s="658">
        <f>INDEX(Odds!I:I,MATCH(J97,Odds!G:G,0))</f>
        <v>2.15</v>
      </c>
      <c r="M97" s="653">
        <f>INDEX(Odds!J:J,MATCH(J97,Odds!G:G,0))</f>
        <v>0</v>
      </c>
      <c r="N97" s="659">
        <f t="shared" si="12"/>
        <v>0</v>
      </c>
      <c r="O97" s="526"/>
      <c r="P97" s="58"/>
      <c r="R97" s="35" t="str">
        <f>IF(Odds!G97="","",Odds!G97)</f>
        <v>Chelsea</v>
      </c>
      <c r="S97" s="36" t="str">
        <f>INDEX(Odds!H:H,MATCH(R97,Odds!G:G,0))</f>
        <v>3/4</v>
      </c>
      <c r="T97" s="40">
        <f t="shared" si="11"/>
        <v>0</v>
      </c>
      <c r="Y97" s="8">
        <f>INDEX(Odds!K:K,MATCH(J97,Odds!G:G,0))</f>
        <v>1</v>
      </c>
      <c r="AB97" s="529" t="str">
        <f>IF(O97="","",INDEX(Odds!H:H,MATCH(O97,Odds!G:G,0)))</f>
        <v/>
      </c>
      <c r="AC97" s="529" t="str">
        <f>IF(INDEX(Table!Q:Q,MATCH(A97,Table!F:F,0))="N","N","")</f>
        <v/>
      </c>
      <c r="AD97" s="58"/>
      <c r="AE97" s="58"/>
      <c r="AF97" s="417"/>
      <c r="AG97" s="58"/>
    </row>
    <row r="98" spans="1:33" ht="13.9" thickTop="1" thickBot="1">
      <c r="A98" s="629" t="str">
        <f>Results!B98</f>
        <v>Paul Adderley</v>
      </c>
      <c r="B98" s="630" t="str">
        <f t="shared" si="7"/>
        <v>Liverpool</v>
      </c>
      <c r="C98" s="631">
        <f>IF(J98="","",INDEX(Odds!C:C,MATCH(J98,Odds!G:G,0)))</f>
        <v>1</v>
      </c>
      <c r="D98" s="632">
        <f t="shared" si="8"/>
        <v>1.3</v>
      </c>
      <c r="E98" s="633" t="str">
        <f t="shared" si="10"/>
        <v>√</v>
      </c>
      <c r="F98" s="634">
        <f>IF(J98="",-10,INDEX(Results!T:T,MATCH(A98,Results!V:V,0)))</f>
        <v>-1.8666666666666671</v>
      </c>
      <c r="G98" s="635">
        <f>IF(J98="","",INDEX(Results!AI:AI,MATCH(A98,Results!V:V,0)))</f>
        <v>26.346666666666664</v>
      </c>
      <c r="H98" s="360" t="str">
        <f>IF(INDEX(Table!Q:Q,MATCH(A98,Table!F:F,0))="N","N","Y")</f>
        <v>Y</v>
      </c>
      <c r="I98" s="359">
        <f>INDEX(Picks!AG:AG,MATCH(A98,Picks!AD:AD,0))</f>
        <v>22</v>
      </c>
      <c r="J98" s="419" t="s">
        <v>632</v>
      </c>
      <c r="K98" s="651" t="str">
        <f>INDEX(Odds!H:H,MATCH(J98,Odds!G:G,0))</f>
        <v>3/10</v>
      </c>
      <c r="L98" s="652">
        <f>INDEX(Odds!I:I,MATCH(J98,Odds!G:G,0))</f>
        <v>1.3</v>
      </c>
      <c r="M98" s="660">
        <f>INDEX(Odds!J:J,MATCH(J98,Odds!G:G,0))</f>
        <v>1</v>
      </c>
      <c r="N98" s="654">
        <f t="shared" si="12"/>
        <v>1.3</v>
      </c>
      <c r="O98" s="525"/>
      <c r="P98" s="58"/>
      <c r="R98" s="35" t="str">
        <f>IF(Odds!G98="","",Odds!G98)</f>
        <v>Villa</v>
      </c>
      <c r="S98" s="36" t="str">
        <f>INDEX(Odds!H:H,MATCH(R98,Odds!G:G,0))</f>
        <v>19/10</v>
      </c>
      <c r="T98" s="40">
        <f t="shared" si="11"/>
        <v>0</v>
      </c>
      <c r="Y98" s="8">
        <f>INDEX(Odds!K:K,MATCH(J98,Odds!G:G,0))</f>
        <v>1</v>
      </c>
      <c r="AB98" s="528" t="str">
        <f>IF(O98="","",INDEX(Odds!H:H,MATCH(O98,Odds!G:G,0)))</f>
        <v/>
      </c>
      <c r="AC98" s="528" t="str">
        <f>IF(INDEX(Table!Q:Q,MATCH(A98,Table!F:F,0))="N","N","")</f>
        <v/>
      </c>
      <c r="AD98" s="58"/>
      <c r="AE98" s="58"/>
      <c r="AF98" s="417"/>
      <c r="AG98" s="58"/>
    </row>
    <row r="99" spans="1:33">
      <c r="A99" s="636" t="str">
        <f>A98</f>
        <v>Paul Adderley</v>
      </c>
      <c r="B99" s="637" t="str">
        <f t="shared" si="7"/>
        <v>Man C</v>
      </c>
      <c r="C99" s="631">
        <f>IF(J99="","",INDEX(Odds!C:C,MATCH(J99,Odds!G:G,0)))</f>
        <v>1</v>
      </c>
      <c r="D99" s="638">
        <f t="shared" si="8"/>
        <v>1.6666666666666665</v>
      </c>
      <c r="E99" s="639" t="str">
        <f t="shared" si="10"/>
        <v>√</v>
      </c>
      <c r="F99" s="640"/>
      <c r="G99" s="641"/>
      <c r="H99" s="360">
        <f>IF(G98="",0,1)</f>
        <v>1</v>
      </c>
      <c r="I99" s="360"/>
      <c r="J99" s="419" t="s">
        <v>633</v>
      </c>
      <c r="K99" s="655" t="str">
        <f>INDEX(Odds!H:H,MATCH(J99,Odds!G:G,0))</f>
        <v>4/6</v>
      </c>
      <c r="L99" s="656">
        <f>INDEX(Odds!I:I,MATCH(J99,Odds!G:G,0))</f>
        <v>1.6666666666666665</v>
      </c>
      <c r="M99" s="653">
        <f>INDEX(Odds!J:J,MATCH(J99,Odds!G:G,0))</f>
        <v>1</v>
      </c>
      <c r="N99" s="654">
        <f t="shared" si="12"/>
        <v>1.6666666666666665</v>
      </c>
      <c r="O99" s="525"/>
      <c r="P99" s="58"/>
      <c r="R99" s="35" t="str">
        <f>IF(Odds!G99="","",Odds!G99)</f>
        <v>Leeds</v>
      </c>
      <c r="S99" s="36" t="str">
        <f>INDEX(Odds!H:H,MATCH(R99,Odds!G:G,0))</f>
        <v>29/10</v>
      </c>
      <c r="T99" s="40">
        <f t="shared" si="11"/>
        <v>0</v>
      </c>
      <c r="Y99" s="8">
        <f>INDEX(Odds!K:K,MATCH(J99,Odds!G:G,0))</f>
        <v>1</v>
      </c>
      <c r="AB99" s="528" t="str">
        <f>IF(O99="","",INDEX(Odds!H:H,MATCH(O99,Odds!G:G,0)))</f>
        <v/>
      </c>
      <c r="AC99" s="528" t="str">
        <f>IF(INDEX(Table!Q:Q,MATCH(A99,Table!F:F,0))="N","N","")</f>
        <v/>
      </c>
      <c r="AD99" s="58"/>
      <c r="AE99" s="58"/>
      <c r="AF99" s="417"/>
      <c r="AG99" s="58"/>
    </row>
    <row r="100" spans="1:33" ht="13.5" thickBot="1">
      <c r="A100" s="642" t="str">
        <f>A98</f>
        <v>Paul Adderley</v>
      </c>
      <c r="B100" s="643" t="str">
        <f t="shared" si="7"/>
        <v>Portsmouth</v>
      </c>
      <c r="C100" s="644">
        <f>IF(J100="","",INDEX(Odds!C:C,MATCH(J100,Odds!G:G,0)))</f>
        <v>1</v>
      </c>
      <c r="D100" s="645">
        <f t="shared" si="8"/>
        <v>4.5999999999999996</v>
      </c>
      <c r="E100" s="639" t="str">
        <f t="shared" si="10"/>
        <v>x</v>
      </c>
      <c r="F100" s="640"/>
      <c r="G100" s="641"/>
      <c r="H100" s="360"/>
      <c r="I100" s="360"/>
      <c r="J100" s="420" t="s">
        <v>399</v>
      </c>
      <c r="K100" s="657" t="str">
        <f>INDEX(Odds!H:H,MATCH(J100,Odds!G:G,0))</f>
        <v>18/5</v>
      </c>
      <c r="L100" s="658">
        <f>INDEX(Odds!I:I,MATCH(J100,Odds!G:G,0))</f>
        <v>4.5999999999999996</v>
      </c>
      <c r="M100" s="653">
        <f>INDEX(Odds!J:J,MATCH(J100,Odds!G:G,0))</f>
        <v>0</v>
      </c>
      <c r="N100" s="659">
        <f t="shared" si="12"/>
        <v>0</v>
      </c>
      <c r="O100" s="526"/>
      <c r="P100" s="58"/>
      <c r="R100" s="35" t="str">
        <f>IF(Odds!G100="","",Odds!G100)</f>
        <v>Wolves</v>
      </c>
      <c r="S100" s="36" t="str">
        <f>INDEX(Odds!H:H,MATCH(R100,Odds!G:G,0))</f>
        <v>11/2</v>
      </c>
      <c r="T100" s="40">
        <f t="shared" si="11"/>
        <v>0</v>
      </c>
      <c r="Y100" s="8">
        <f>INDEX(Odds!K:K,MATCH(J100,Odds!G:G,0))</f>
        <v>1</v>
      </c>
      <c r="AB100" s="529" t="str">
        <f>IF(O100="","",INDEX(Odds!H:H,MATCH(O100,Odds!G:G,0)))</f>
        <v/>
      </c>
      <c r="AC100" s="529" t="str">
        <f>IF(INDEX(Table!Q:Q,MATCH(A100,Table!F:F,0))="N","N","")</f>
        <v/>
      </c>
      <c r="AD100" s="58"/>
      <c r="AE100" s="58"/>
      <c r="AF100" s="417"/>
      <c r="AG100" s="58"/>
    </row>
    <row r="101" spans="1:33" ht="13.9" thickTop="1" thickBot="1">
      <c r="A101" s="629" t="str">
        <f>Results!B101</f>
        <v>Paul Allen</v>
      </c>
      <c r="B101" s="630" t="str">
        <f t="shared" si="7"/>
        <v>Sheff U</v>
      </c>
      <c r="C101" s="631">
        <f>IF(J101="","",INDEX(Odds!C:C,MATCH(J101,Odds!G:G,0)))</f>
        <v>6</v>
      </c>
      <c r="D101" s="632">
        <f t="shared" si="8"/>
        <v>4</v>
      </c>
      <c r="E101" s="633" t="str">
        <f t="shared" si="10"/>
        <v>x</v>
      </c>
      <c r="F101" s="634">
        <f>IF(J101="",-10,INDEX(Results!T:T,MATCH(A101,Results!V:V,0)))</f>
        <v>-3.8</v>
      </c>
      <c r="G101" s="635">
        <f>IF(J101="","",INDEX(Results!AI:AI,MATCH(A101,Results!V:V,0)))</f>
        <v>86.5</v>
      </c>
      <c r="H101" s="360" t="str">
        <f>IF(INDEX(Table!Q:Q,MATCH(A101,Table!F:F,0))="N","N","Y")</f>
        <v>Y</v>
      </c>
      <c r="I101" s="359">
        <f>INDEX(Picks!AG:AG,MATCH(A101,Picks!AD:AD,0))</f>
        <v>24</v>
      </c>
      <c r="J101" s="419" t="s">
        <v>408</v>
      </c>
      <c r="K101" s="651" t="str">
        <f>INDEX(Odds!H:H,MATCH(J101,Odds!G:G,0))</f>
        <v>3/1</v>
      </c>
      <c r="L101" s="652">
        <f>INDEX(Odds!I:I,MATCH(J101,Odds!G:G,0))</f>
        <v>4</v>
      </c>
      <c r="M101" s="660">
        <f>INDEX(Odds!J:J,MATCH(J101,Odds!G:G,0))</f>
        <v>0</v>
      </c>
      <c r="N101" s="654">
        <f t="shared" si="12"/>
        <v>0</v>
      </c>
      <c r="O101" s="525"/>
      <c r="P101" s="58"/>
      <c r="R101" s="35" t="str">
        <f>IF(Odds!G101="","",Odds!G101)</f>
        <v>Sunderland</v>
      </c>
      <c r="S101" s="36" t="str">
        <f>INDEX(Odds!H:H,MATCH(R101,Odds!G:G,0))</f>
        <v>4/1</v>
      </c>
      <c r="T101" s="40">
        <f t="shared" si="11"/>
        <v>0</v>
      </c>
      <c r="Y101" s="8">
        <f>INDEX(Odds!K:K,MATCH(J101,Odds!G:G,0))</f>
        <v>1</v>
      </c>
      <c r="AB101" s="528" t="str">
        <f>IF(O101="","",INDEX(Odds!H:H,MATCH(O101,Odds!G:G,0)))</f>
        <v/>
      </c>
      <c r="AC101" s="528" t="str">
        <f>IF(INDEX(Table!Q:Q,MATCH(A101,Table!F:F,0))="N","N","")</f>
        <v/>
      </c>
      <c r="AD101" s="58"/>
      <c r="AE101" s="58"/>
      <c r="AF101" s="417"/>
      <c r="AG101" s="58"/>
    </row>
    <row r="102" spans="1:33">
      <c r="A102" s="636" t="str">
        <f>A101</f>
        <v>Paul Allen</v>
      </c>
      <c r="B102" s="637" t="str">
        <f t="shared" si="7"/>
        <v>Bournemouth draw</v>
      </c>
      <c r="C102" s="631">
        <f>IF(J102="","",INDEX(Odds!C:C,MATCH(J102,Odds!G:G,0)))</f>
        <v>7</v>
      </c>
      <c r="D102" s="638">
        <f t="shared" si="8"/>
        <v>3.5</v>
      </c>
      <c r="E102" s="639" t="str">
        <f t="shared" si="10"/>
        <v>x</v>
      </c>
      <c r="F102" s="640"/>
      <c r="G102" s="641"/>
      <c r="H102" s="360">
        <f>IF(G101="",0,1)</f>
        <v>1</v>
      </c>
      <c r="I102" s="360"/>
      <c r="J102" s="419" t="s">
        <v>637</v>
      </c>
      <c r="K102" s="655" t="str">
        <f>INDEX(Odds!H:H,MATCH(J102,Odds!G:G,0))</f>
        <v>5/2</v>
      </c>
      <c r="L102" s="656">
        <f>INDEX(Odds!I:I,MATCH(J102,Odds!G:G,0))</f>
        <v>3.5</v>
      </c>
      <c r="M102" s="653">
        <f>INDEX(Odds!J:J,MATCH(J102,Odds!G:G,0))</f>
        <v>0</v>
      </c>
      <c r="N102" s="654">
        <f t="shared" si="12"/>
        <v>0</v>
      </c>
      <c r="O102" s="525"/>
      <c r="P102" s="58"/>
      <c r="R102" s="35" t="str">
        <f>IF(Odds!G102="","",Odds!G102)</f>
        <v>Spurs</v>
      </c>
      <c r="S102" s="36" t="str">
        <f>INDEX(Odds!H:H,MATCH(R102,Odds!G:G,0))</f>
        <v>23/20</v>
      </c>
      <c r="T102" s="40">
        <f t="shared" si="11"/>
        <v>1</v>
      </c>
      <c r="Y102" s="8">
        <f>INDEX(Odds!K:K,MATCH(J102,Odds!G:G,0))</f>
        <v>1</v>
      </c>
      <c r="AB102" s="528" t="str">
        <f>IF(O102="","",INDEX(Odds!H:H,MATCH(O102,Odds!G:G,0)))</f>
        <v/>
      </c>
      <c r="AC102" s="528" t="str">
        <f>IF(INDEX(Table!Q:Q,MATCH(A102,Table!F:F,0))="N","N","")</f>
        <v/>
      </c>
      <c r="AD102" s="58"/>
      <c r="AE102" s="58"/>
      <c r="AF102" s="417"/>
      <c r="AG102" s="58"/>
    </row>
    <row r="103" spans="1:33" ht="13.5" thickBot="1">
      <c r="A103" s="642" t="str">
        <f>A101</f>
        <v>Paul Allen</v>
      </c>
      <c r="B103" s="643" t="str">
        <f t="shared" si="7"/>
        <v>Everton draw</v>
      </c>
      <c r="C103" s="644">
        <f>IF(J103="","",INDEX(Odds!C:C,MATCH(J103,Odds!G:G,0)))</f>
        <v>7</v>
      </c>
      <c r="D103" s="645">
        <f t="shared" si="8"/>
        <v>3.2</v>
      </c>
      <c r="E103" s="646" t="str">
        <f t="shared" si="10"/>
        <v>√</v>
      </c>
      <c r="F103" s="647"/>
      <c r="G103" s="648"/>
      <c r="H103" s="360"/>
      <c r="I103" s="360"/>
      <c r="J103" s="420" t="s">
        <v>648</v>
      </c>
      <c r="K103" s="657" t="str">
        <f>INDEX(Odds!H:H,MATCH(J103,Odds!G:G,0))</f>
        <v>11/5</v>
      </c>
      <c r="L103" s="658">
        <f>INDEX(Odds!I:I,MATCH(J103,Odds!G:G,0))</f>
        <v>3.2</v>
      </c>
      <c r="M103" s="653">
        <f>INDEX(Odds!J:J,MATCH(J103,Odds!G:G,0))</f>
        <v>1</v>
      </c>
      <c r="N103" s="659">
        <f t="shared" si="12"/>
        <v>3.2</v>
      </c>
      <c r="O103" s="526"/>
      <c r="P103" s="58"/>
      <c r="R103" s="35" t="str">
        <f>IF(Odds!G103="","",Odds!G103)</f>
        <v>Millwall</v>
      </c>
      <c r="S103" s="36" t="str">
        <f>INDEX(Odds!H:H,MATCH(R103,Odds!G:G,0))</f>
        <v>2/1</v>
      </c>
      <c r="T103" s="40">
        <f t="shared" si="11"/>
        <v>0</v>
      </c>
      <c r="Y103" s="8">
        <f>INDEX(Odds!K:K,MATCH(J103,Odds!G:G,0))</f>
        <v>1</v>
      </c>
      <c r="AB103" s="529" t="str">
        <f>IF(O103="","",INDEX(Odds!H:H,MATCH(O103,Odds!G:G,0)))</f>
        <v/>
      </c>
      <c r="AC103" s="529" t="str">
        <f>IF(INDEX(Table!Q:Q,MATCH(A103,Table!F:F,0))="N","N","")</f>
        <v/>
      </c>
      <c r="AD103" s="58"/>
      <c r="AE103" s="58"/>
      <c r="AF103" s="417"/>
      <c r="AG103" s="58"/>
    </row>
    <row r="104" spans="1:33" ht="13.9" thickTop="1" thickBot="1">
      <c r="A104" s="629" t="str">
        <f>Results!B104</f>
        <v>Paul Barnes</v>
      </c>
      <c r="B104" s="630" t="str">
        <f t="shared" si="7"/>
        <v>Fulham</v>
      </c>
      <c r="C104" s="631">
        <f>IF(J104="","",INDEX(Odds!C:C,MATCH(J104,Odds!G:G,0)))</f>
        <v>7</v>
      </c>
      <c r="D104" s="632">
        <f t="shared" si="8"/>
        <v>1.9090909090909092</v>
      </c>
      <c r="E104" s="639" t="str">
        <f t="shared" si="10"/>
        <v>√</v>
      </c>
      <c r="F104" s="649">
        <f>IF(J104="",-10,INDEX(Results!T:T,MATCH(A104,Results!V:V,0)))</f>
        <v>-0.8888888888888884</v>
      </c>
      <c r="G104" s="650">
        <f>IF(J104="","",INDEX(Results!AI:AI,MATCH(A104,Results!V:V,0)))</f>
        <v>10.598290598290603</v>
      </c>
      <c r="H104" s="360" t="str">
        <f>IF(INDEX(Table!Q:Q,MATCH(A104,Table!F:F,0))="N","N","Y")</f>
        <v>Y</v>
      </c>
      <c r="I104" s="359">
        <f>INDEX(Picks!AG:AG,MATCH(A104,Picks!AD:AD,0))</f>
        <v>19</v>
      </c>
      <c r="J104" s="419" t="s">
        <v>586</v>
      </c>
      <c r="K104" s="651" t="str">
        <f>INDEX(Odds!H:H,MATCH(J104,Odds!G:G,0))</f>
        <v>10/11</v>
      </c>
      <c r="L104" s="652">
        <f>INDEX(Odds!I:I,MATCH(J104,Odds!G:G,0))</f>
        <v>1.9090909090909092</v>
      </c>
      <c r="M104" s="660">
        <f>INDEX(Odds!J:J,MATCH(J104,Odds!G:G,0))</f>
        <v>1</v>
      </c>
      <c r="N104" s="654">
        <f t="shared" si="12"/>
        <v>1.9090909090909092</v>
      </c>
      <c r="O104" s="525"/>
      <c r="P104" s="58"/>
      <c r="R104" s="35" t="str">
        <f>IF(Odds!G104="","",Odds!G104)</f>
        <v>Norwich</v>
      </c>
      <c r="S104" s="36" t="str">
        <f>INDEX(Odds!H:H,MATCH(R104,Odds!G:G,0))</f>
        <v>7/2</v>
      </c>
      <c r="T104" s="40">
        <f t="shared" si="11"/>
        <v>0</v>
      </c>
      <c r="Y104" s="8">
        <f>INDEX(Odds!K:K,MATCH(J104,Odds!G:G,0))</f>
        <v>1</v>
      </c>
      <c r="AB104" s="528" t="str">
        <f>IF(O104="","",INDEX(Odds!H:H,MATCH(O104,Odds!G:G,0)))</f>
        <v/>
      </c>
      <c r="AC104" s="528" t="str">
        <f>IF(INDEX(Table!Q:Q,MATCH(A104,Table!F:F,0))="N","N","")</f>
        <v/>
      </c>
      <c r="AD104" s="58"/>
      <c r="AE104" s="58"/>
      <c r="AF104" s="417"/>
      <c r="AG104" s="58"/>
    </row>
    <row r="105" spans="1:33">
      <c r="A105" s="636" t="str">
        <f>A104</f>
        <v>Paul Barnes</v>
      </c>
      <c r="B105" s="637" t="str">
        <f t="shared" si="7"/>
        <v>Newcastle</v>
      </c>
      <c r="C105" s="631">
        <f>IF(J105="","",INDEX(Odds!C:C,MATCH(J105,Odds!G:G,0)))</f>
        <v>7</v>
      </c>
      <c r="D105" s="638">
        <f t="shared" si="8"/>
        <v>1.4444444444444444</v>
      </c>
      <c r="E105" s="639" t="str">
        <f t="shared" si="10"/>
        <v>√</v>
      </c>
      <c r="F105" s="640"/>
      <c r="G105" s="641"/>
      <c r="H105" s="360">
        <f>IF(G104="",0,1)</f>
        <v>1</v>
      </c>
      <c r="I105" s="360"/>
      <c r="J105" s="419" t="s">
        <v>588</v>
      </c>
      <c r="K105" s="655" t="str">
        <f>INDEX(Odds!H:H,MATCH(J105,Odds!G:G,0))</f>
        <v>4/9</v>
      </c>
      <c r="L105" s="656">
        <f>INDEX(Odds!I:I,MATCH(J105,Odds!G:G,0))</f>
        <v>1.4444444444444444</v>
      </c>
      <c r="M105" s="653">
        <f>INDEX(Odds!J:J,MATCH(J105,Odds!G:G,0))</f>
        <v>1</v>
      </c>
      <c r="N105" s="654">
        <f t="shared" si="12"/>
        <v>1.4444444444444444</v>
      </c>
      <c r="O105" s="525"/>
      <c r="P105" s="58"/>
      <c r="R105" s="35" t="str">
        <f>IF(Odds!G105="","",Odds!G105)</f>
        <v>Leicester</v>
      </c>
      <c r="S105" s="36" t="str">
        <f>INDEX(Odds!H:H,MATCH(R105,Odds!G:G,0))</f>
        <v>10/11</v>
      </c>
      <c r="T105" s="40">
        <f t="shared" si="11"/>
        <v>0</v>
      </c>
      <c r="Y105" s="8">
        <f>INDEX(Odds!K:K,MATCH(J105,Odds!G:G,0))</f>
        <v>1</v>
      </c>
      <c r="AB105" s="528" t="str">
        <f>IF(O105="","",INDEX(Odds!H:H,MATCH(O105,Odds!G:G,0)))</f>
        <v/>
      </c>
      <c r="AC105" s="528" t="str">
        <f>IF(INDEX(Table!Q:Q,MATCH(A105,Table!F:F,0))="N","N","")</f>
        <v/>
      </c>
      <c r="AD105" s="58"/>
      <c r="AE105" s="58"/>
      <c r="AF105" s="417"/>
      <c r="AG105" s="58"/>
    </row>
    <row r="106" spans="1:33" ht="13.5" thickBot="1">
      <c r="A106" s="642" t="str">
        <f>A104</f>
        <v>Paul Barnes</v>
      </c>
      <c r="B106" s="643" t="str">
        <f t="shared" si="7"/>
        <v>Palace</v>
      </c>
      <c r="C106" s="644">
        <f>IF(J106="","",INDEX(Odds!C:C,MATCH(J106,Odds!G:G,0)))</f>
        <v>7</v>
      </c>
      <c r="D106" s="645">
        <f t="shared" si="8"/>
        <v>1.6153846153846154</v>
      </c>
      <c r="E106" s="639" t="str">
        <f t="shared" si="10"/>
        <v>x</v>
      </c>
      <c r="F106" s="640"/>
      <c r="G106" s="641"/>
      <c r="H106" s="360"/>
      <c r="I106" s="360"/>
      <c r="J106" s="420" t="s">
        <v>590</v>
      </c>
      <c r="K106" s="657" t="str">
        <f>INDEX(Odds!H:H,MATCH(J106,Odds!G:G,0))</f>
        <v>8/13</v>
      </c>
      <c r="L106" s="658">
        <f>INDEX(Odds!I:I,MATCH(J106,Odds!G:G,0))</f>
        <v>1.6153846153846154</v>
      </c>
      <c r="M106" s="653">
        <f>INDEX(Odds!J:J,MATCH(J106,Odds!G:G,0))</f>
        <v>0</v>
      </c>
      <c r="N106" s="659">
        <f t="shared" si="12"/>
        <v>0</v>
      </c>
      <c r="O106" s="526"/>
      <c r="P106" s="58"/>
      <c r="R106" s="35" t="str">
        <f>IF(Odds!G106="","",Odds!G106)</f>
        <v>Middlesbro</v>
      </c>
      <c r="S106" s="36" t="str">
        <f>INDEX(Odds!H:H,MATCH(R106,Odds!G:G,0))</f>
        <v>29/20</v>
      </c>
      <c r="T106" s="40">
        <f t="shared" si="11"/>
        <v>0</v>
      </c>
      <c r="Y106" s="8">
        <f>INDEX(Odds!K:K,MATCH(J106,Odds!G:G,0))</f>
        <v>1</v>
      </c>
      <c r="AB106" s="529" t="str">
        <f>IF(O106="","",INDEX(Odds!H:H,MATCH(O106,Odds!G:G,0)))</f>
        <v/>
      </c>
      <c r="AC106" s="529" t="str">
        <f>IF(INDEX(Table!Q:Q,MATCH(A106,Table!F:F,0))="N","N","")</f>
        <v/>
      </c>
      <c r="AD106" s="58"/>
      <c r="AE106" s="58"/>
      <c r="AF106" s="417"/>
      <c r="AG106" s="58"/>
    </row>
    <row r="107" spans="1:33" ht="13.9" thickTop="1" thickBot="1">
      <c r="A107" s="629" t="str">
        <f>Results!B107</f>
        <v>Paul Fairhurst</v>
      </c>
      <c r="B107" s="630" t="str">
        <f t="shared" ref="B107:B133" si="13">IF(J107="","",J107)</f>
        <v>Charlton draw</v>
      </c>
      <c r="C107" s="631">
        <f>IF(J107="","",INDEX(Odds!C:C,MATCH(J107,Odds!G:G,0)))</f>
        <v>7</v>
      </c>
      <c r="D107" s="632">
        <f t="shared" ref="D107:D133" si="14">IF(J107="","",L107)</f>
        <v>3.1</v>
      </c>
      <c r="E107" s="633" t="str">
        <f t="shared" si="10"/>
        <v>√</v>
      </c>
      <c r="F107" s="634">
        <f>IF(J107="",-10,INDEX(Results!T:T,MATCH(A107,Results!V:V,0)))</f>
        <v>11.270000000000003</v>
      </c>
      <c r="G107" s="635">
        <f>IF(J107="","",INDEX(Results!AI:AI,MATCH(A107,Results!V:V,0)))</f>
        <v>72.934000000000012</v>
      </c>
      <c r="H107" s="360" t="str">
        <f>IF(INDEX(Table!Q:Q,MATCH(A107,Table!F:F,0))="N","N","Y")</f>
        <v>Y</v>
      </c>
      <c r="I107" s="359">
        <f>INDEX(Picks!AG:AG,MATCH(A107,Picks!AD:AD,0))</f>
        <v>4</v>
      </c>
      <c r="J107" s="419" t="s">
        <v>642</v>
      </c>
      <c r="K107" s="651" t="str">
        <f>INDEX(Odds!H:H,MATCH(J107,Odds!G:G,0))</f>
        <v>21/10</v>
      </c>
      <c r="L107" s="652">
        <f>INDEX(Odds!I:I,MATCH(J107,Odds!G:G,0))</f>
        <v>3.1</v>
      </c>
      <c r="M107" s="660">
        <f>INDEX(Odds!J:J,MATCH(J107,Odds!G:G,0))</f>
        <v>1</v>
      </c>
      <c r="N107" s="654">
        <f t="shared" si="12"/>
        <v>3.1</v>
      </c>
      <c r="O107" s="525"/>
      <c r="P107" s="58"/>
      <c r="R107" s="35" t="str">
        <f>IF(Odds!G107="","",Odds!G107)</f>
        <v>Bristol C</v>
      </c>
      <c r="S107" s="36" t="str">
        <f>INDEX(Odds!H:H,MATCH(R107,Odds!G:G,0))</f>
        <v>11/10</v>
      </c>
      <c r="T107" s="40">
        <f t="shared" si="11"/>
        <v>1</v>
      </c>
      <c r="Y107" s="8">
        <f>INDEX(Odds!K:K,MATCH(J107,Odds!G:G,0))</f>
        <v>1</v>
      </c>
      <c r="AB107" s="528" t="str">
        <f>IF(O107="","",INDEX(Odds!H:H,MATCH(O107,Odds!G:G,0)))</f>
        <v/>
      </c>
      <c r="AC107" s="528" t="str">
        <f>IF(INDEX(Table!Q:Q,MATCH(A107,Table!F:F,0))="N","N","")</f>
        <v/>
      </c>
      <c r="AD107" s="58"/>
      <c r="AE107" s="58"/>
      <c r="AF107" s="417"/>
      <c r="AG107" s="58"/>
    </row>
    <row r="108" spans="1:33">
      <c r="A108" s="636" t="str">
        <f>A107</f>
        <v>Paul Fairhurst</v>
      </c>
      <c r="B108" s="637" t="str">
        <f t="shared" si="13"/>
        <v>Bradford draw</v>
      </c>
      <c r="C108" s="631">
        <f>IF(J108="","",INDEX(Odds!C:C,MATCH(J108,Odds!G:G,0)))</f>
        <v>7</v>
      </c>
      <c r="D108" s="638">
        <f t="shared" si="14"/>
        <v>3.2</v>
      </c>
      <c r="E108" s="639" t="str">
        <f t="shared" si="10"/>
        <v>x</v>
      </c>
      <c r="F108" s="640"/>
      <c r="G108" s="641"/>
      <c r="H108" s="360">
        <f>IF(G107="",0,1)</f>
        <v>1</v>
      </c>
      <c r="I108" s="360"/>
      <c r="J108" s="419" t="s">
        <v>643</v>
      </c>
      <c r="K108" s="655" t="str">
        <f>INDEX(Odds!H:H,MATCH(J108,Odds!G:G,0))</f>
        <v>11/5</v>
      </c>
      <c r="L108" s="656">
        <f>INDEX(Odds!I:I,MATCH(J108,Odds!G:G,0))</f>
        <v>3.2</v>
      </c>
      <c r="M108" s="653">
        <f>INDEX(Odds!J:J,MATCH(J108,Odds!G:G,0))</f>
        <v>0</v>
      </c>
      <c r="N108" s="654">
        <f t="shared" si="12"/>
        <v>0</v>
      </c>
      <c r="O108" s="525"/>
      <c r="P108" s="58"/>
      <c r="R108" s="35" t="str">
        <f>IF(Odds!G108="","",Odds!G108)</f>
        <v>Birmingham</v>
      </c>
      <c r="S108" s="36" t="str">
        <f>INDEX(Odds!H:H,MATCH(R108,Odds!G:G,0))</f>
        <v>13/10</v>
      </c>
      <c r="T108" s="40">
        <f t="shared" si="11"/>
        <v>0</v>
      </c>
      <c r="Y108" s="8">
        <f>INDEX(Odds!K:K,MATCH(J108,Odds!G:G,0))</f>
        <v>1</v>
      </c>
      <c r="AB108" s="528" t="str">
        <f>IF(O108="","",INDEX(Odds!H:H,MATCH(O108,Odds!G:G,0)))</f>
        <v/>
      </c>
      <c r="AC108" s="528" t="str">
        <f>IF(INDEX(Table!Q:Q,MATCH(A108,Table!F:F,0))="N","N","")</f>
        <v/>
      </c>
      <c r="AD108" s="58"/>
      <c r="AE108" s="58"/>
      <c r="AF108" s="417"/>
      <c r="AG108" s="58"/>
    </row>
    <row r="109" spans="1:33" ht="13.5" thickBot="1">
      <c r="A109" s="642" t="str">
        <f>A107</f>
        <v>Paul Fairhurst</v>
      </c>
      <c r="B109" s="643" t="str">
        <f t="shared" si="13"/>
        <v>Southampton draw</v>
      </c>
      <c r="C109" s="644">
        <f>IF(J109="","",INDEX(Odds!C:C,MATCH(J109,Odds!G:G,0)))</f>
        <v>1</v>
      </c>
      <c r="D109" s="645">
        <f t="shared" si="14"/>
        <v>3.7</v>
      </c>
      <c r="E109" s="639" t="str">
        <f t="shared" si="10"/>
        <v>√</v>
      </c>
      <c r="F109" s="640"/>
      <c r="G109" s="641"/>
      <c r="H109" s="360"/>
      <c r="I109" s="360"/>
      <c r="J109" s="420" t="s">
        <v>530</v>
      </c>
      <c r="K109" s="657" t="str">
        <f>INDEX(Odds!H:H,MATCH(J109,Odds!G:G,0))</f>
        <v>27/10</v>
      </c>
      <c r="L109" s="658">
        <f>INDEX(Odds!I:I,MATCH(J109,Odds!G:G,0))</f>
        <v>3.7</v>
      </c>
      <c r="M109" s="653">
        <f>INDEX(Odds!J:J,MATCH(J109,Odds!G:G,0))</f>
        <v>1</v>
      </c>
      <c r="N109" s="659">
        <f t="shared" si="12"/>
        <v>3.7</v>
      </c>
      <c r="O109" s="526"/>
      <c r="P109" s="58"/>
      <c r="R109" s="35" t="str">
        <f>IF(Odds!G109="","",Odds!G109)</f>
        <v>Hull</v>
      </c>
      <c r="S109" s="36" t="str">
        <f>INDEX(Odds!H:H,MATCH(R109,Odds!G:G,0))</f>
        <v>10/3</v>
      </c>
      <c r="T109" s="40">
        <f t="shared" si="11"/>
        <v>0</v>
      </c>
      <c r="Y109" s="8">
        <f>INDEX(Odds!K:K,MATCH(J109,Odds!G:G,0))</f>
        <v>1</v>
      </c>
      <c r="AB109" s="529" t="str">
        <f>IF(O109="","",INDEX(Odds!H:H,MATCH(O109,Odds!G:G,0)))</f>
        <v/>
      </c>
      <c r="AC109" s="529" t="str">
        <f>IF(INDEX(Table!Q:Q,MATCH(A109,Table!F:F,0))="N","N","")</f>
        <v/>
      </c>
      <c r="AD109" s="58"/>
      <c r="AE109" s="58"/>
      <c r="AF109" s="417"/>
      <c r="AG109" s="58"/>
    </row>
    <row r="110" spans="1:33" ht="13.9" thickTop="1" thickBot="1">
      <c r="A110" s="629" t="str">
        <f>Results!B110</f>
        <v>Phil Miller</v>
      </c>
      <c r="B110" s="630" t="str">
        <f t="shared" si="13"/>
        <v/>
      </c>
      <c r="C110" s="631" t="str">
        <f>IF(J110="","",INDEX(Odds!C:C,MATCH(J110,Odds!G:G,0)))</f>
        <v/>
      </c>
      <c r="D110" s="632" t="str">
        <f t="shared" si="14"/>
        <v/>
      </c>
      <c r="E110" s="633" t="str">
        <f t="shared" si="10"/>
        <v/>
      </c>
      <c r="F110" s="634">
        <f>IF(J110="",-10,INDEX(Results!T:T,MATCH(A110,Results!V:V,0)))</f>
        <v>-10</v>
      </c>
      <c r="G110" s="635" t="str">
        <f>IF(J110="","",INDEX(Results!AI:AI,MATCH(A110,Results!V:V,0)))</f>
        <v/>
      </c>
      <c r="H110" s="360" t="str">
        <f>IF(INDEX(Table!Q:Q,MATCH(A110,Table!F:F,0))="N","N","Y")</f>
        <v>Y</v>
      </c>
      <c r="I110" s="359" t="str">
        <f>INDEX(Picks!AG:AG,MATCH(A110,Picks!AD:AD,0))</f>
        <v/>
      </c>
      <c r="J110" s="419"/>
      <c r="K110" s="651" t="e">
        <f>INDEX(Odds!H:H,MATCH(J110,Odds!G:G,0))</f>
        <v>#N/A</v>
      </c>
      <c r="L110" s="652" t="e">
        <f>INDEX(Odds!I:I,MATCH(J110,Odds!G:G,0))</f>
        <v>#N/A</v>
      </c>
      <c r="M110" s="660" t="e">
        <f>INDEX(Odds!J:J,MATCH(J110,Odds!G:G,0))</f>
        <v>#N/A</v>
      </c>
      <c r="N110" s="654" t="e">
        <f t="shared" si="12"/>
        <v>#N/A</v>
      </c>
      <c r="O110" s="525"/>
      <c r="P110" s="58"/>
      <c r="R110" s="35" t="str">
        <f>IF(Odds!G110="","",Odds!G110)</f>
        <v>Blackburn</v>
      </c>
      <c r="S110" s="36" t="str">
        <f>INDEX(Odds!H:H,MATCH(R110,Odds!G:G,0))</f>
        <v>9/5</v>
      </c>
      <c r="T110" s="40">
        <f t="shared" si="11"/>
        <v>1</v>
      </c>
      <c r="Y110" s="8" t="e">
        <f>INDEX(Odds!K:K,MATCH(J110,Odds!G:G,0))</f>
        <v>#N/A</v>
      </c>
      <c r="AB110" s="528" t="str">
        <f>IF(O110="","",INDEX(Odds!H:H,MATCH(O110,Odds!G:G,0)))</f>
        <v/>
      </c>
      <c r="AC110" s="528" t="str">
        <f>IF(INDEX(Table!Q:Q,MATCH(A110,Table!F:F,0))="N","N","")</f>
        <v/>
      </c>
      <c r="AD110" s="58"/>
      <c r="AE110" s="58"/>
      <c r="AF110" s="417"/>
      <c r="AG110" s="58"/>
    </row>
    <row r="111" spans="1:33">
      <c r="A111" s="636" t="str">
        <f>A110</f>
        <v>Phil Miller</v>
      </c>
      <c r="B111" s="637" t="str">
        <f t="shared" si="13"/>
        <v/>
      </c>
      <c r="C111" s="631" t="str">
        <f>IF(J111="","",INDEX(Odds!C:C,MATCH(J111,Odds!G:G,0)))</f>
        <v/>
      </c>
      <c r="D111" s="638" t="str">
        <f t="shared" si="14"/>
        <v/>
      </c>
      <c r="E111" s="639" t="str">
        <f t="shared" si="10"/>
        <v/>
      </c>
      <c r="F111" s="640"/>
      <c r="G111" s="641"/>
      <c r="H111" s="360">
        <f>IF(G110="",0,1)</f>
        <v>0</v>
      </c>
      <c r="I111" s="360"/>
      <c r="J111" s="419"/>
      <c r="K111" s="655" t="e">
        <f>INDEX(Odds!H:H,MATCH(J111,Odds!G:G,0))</f>
        <v>#N/A</v>
      </c>
      <c r="L111" s="656" t="e">
        <f>INDEX(Odds!I:I,MATCH(J111,Odds!G:G,0))</f>
        <v>#N/A</v>
      </c>
      <c r="M111" s="653" t="e">
        <f>INDEX(Odds!J:J,MATCH(J111,Odds!G:G,0))</f>
        <v>#N/A</v>
      </c>
      <c r="N111" s="654" t="e">
        <f t="shared" si="12"/>
        <v>#N/A</v>
      </c>
      <c r="O111" s="525"/>
      <c r="P111" s="58"/>
      <c r="R111" s="35" t="str">
        <f>IF(Odds!G111="","",Odds!G111)</f>
        <v>Derby</v>
      </c>
      <c r="S111" s="36" t="str">
        <f>INDEX(Odds!H:H,MATCH(R111,Odds!G:G,0))</f>
        <v>7/2</v>
      </c>
      <c r="T111" s="40">
        <f t="shared" si="11"/>
        <v>1</v>
      </c>
      <c r="Y111" s="8" t="e">
        <f>INDEX(Odds!K:K,MATCH(J111,Odds!G:G,0))</f>
        <v>#N/A</v>
      </c>
      <c r="AB111" s="528" t="str">
        <f>IF(O111="","",INDEX(Odds!H:H,MATCH(O111,Odds!G:G,0)))</f>
        <v/>
      </c>
      <c r="AC111" s="528" t="str">
        <f>IF(INDEX(Table!Q:Q,MATCH(A111,Table!F:F,0))="N","N","")</f>
        <v/>
      </c>
      <c r="AD111" s="58"/>
      <c r="AE111" s="58"/>
      <c r="AF111" s="417"/>
      <c r="AG111" s="58"/>
    </row>
    <row r="112" spans="1:33" ht="13.5" thickBot="1">
      <c r="A112" s="642" t="str">
        <f>A110</f>
        <v>Phil Miller</v>
      </c>
      <c r="B112" s="643" t="str">
        <f t="shared" si="13"/>
        <v/>
      </c>
      <c r="C112" s="644" t="str">
        <f>IF(J112="","",INDEX(Odds!C:C,MATCH(J112,Odds!G:G,0)))</f>
        <v/>
      </c>
      <c r="D112" s="645" t="str">
        <f t="shared" si="14"/>
        <v/>
      </c>
      <c r="E112" s="639" t="str">
        <f t="shared" si="10"/>
        <v/>
      </c>
      <c r="F112" s="640"/>
      <c r="G112" s="641"/>
      <c r="H112" s="360"/>
      <c r="I112" s="360"/>
      <c r="J112" s="420"/>
      <c r="K112" s="657" t="e">
        <f>INDEX(Odds!H:H,MATCH(J112,Odds!G:G,0))</f>
        <v>#N/A</v>
      </c>
      <c r="L112" s="658" t="e">
        <f>INDEX(Odds!I:I,MATCH(J112,Odds!G:G,0))</f>
        <v>#N/A</v>
      </c>
      <c r="M112" s="653" t="e">
        <f>INDEX(Odds!J:J,MATCH(J112,Odds!G:G,0))</f>
        <v>#N/A</v>
      </c>
      <c r="N112" s="659" t="e">
        <f t="shared" si="12"/>
        <v>#N/A</v>
      </c>
      <c r="O112" s="526"/>
      <c r="P112" s="58"/>
      <c r="R112" s="35" t="str">
        <f>IF(Odds!G112="","",Odds!G112)</f>
        <v>QPR</v>
      </c>
      <c r="S112" s="36" t="str">
        <f>INDEX(Odds!H:H,MATCH(R112,Odds!G:G,0))</f>
        <v>3/1</v>
      </c>
      <c r="T112" s="40">
        <f t="shared" si="11"/>
        <v>1</v>
      </c>
      <c r="Y112" s="8" t="e">
        <f>INDEX(Odds!K:K,MATCH(J112,Odds!G:G,0))</f>
        <v>#N/A</v>
      </c>
      <c r="AB112" s="529" t="str">
        <f>IF(O112="","",INDEX(Odds!H:H,MATCH(O112,Odds!G:G,0)))</f>
        <v/>
      </c>
      <c r="AC112" s="529" t="str">
        <f>IF(INDEX(Table!Q:Q,MATCH(A112,Table!F:F,0))="N","N","")</f>
        <v/>
      </c>
      <c r="AD112" s="58"/>
      <c r="AE112" s="58"/>
      <c r="AF112" s="417"/>
      <c r="AG112" s="58"/>
    </row>
    <row r="113" spans="1:33" ht="13.9" thickTop="1" thickBot="1">
      <c r="A113" s="629" t="str">
        <f>Results!B113</f>
        <v>Rob England</v>
      </c>
      <c r="B113" s="630" t="str">
        <f t="shared" si="13"/>
        <v>Swindon</v>
      </c>
      <c r="C113" s="631">
        <f>IF(J113="","",INDEX(Odds!C:C,MATCH(J113,Odds!G:G,0)))</f>
        <v>7</v>
      </c>
      <c r="D113" s="632">
        <f t="shared" si="14"/>
        <v>1.6666666666666665</v>
      </c>
      <c r="E113" s="633" t="str">
        <f t="shared" si="10"/>
        <v>√</v>
      </c>
      <c r="F113" s="634">
        <f>IF(J113="",-10,INDEX(Results!T:T,MATCH(A113,Results!V:V,0)))</f>
        <v>-0.88888888888888928</v>
      </c>
      <c r="G113" s="635">
        <f>IF(J113="","",INDEX(Results!AI:AI,MATCH(A113,Results!V:V,0)))</f>
        <v>10.598290598290596</v>
      </c>
      <c r="H113" s="360" t="str">
        <f>IF(INDEX(Table!Q:Q,MATCH(A113,Table!F:F,0))="N","N","Y")</f>
        <v>Y</v>
      </c>
      <c r="I113" s="359">
        <f>INDEX(Picks!AG:AG,MATCH(A113,Picks!AD:AD,0))</f>
        <v>20</v>
      </c>
      <c r="J113" s="419" t="s">
        <v>560</v>
      </c>
      <c r="K113" s="651" t="str">
        <f>INDEX(Odds!H:H,MATCH(J113,Odds!G:G,0))</f>
        <v>4/6</v>
      </c>
      <c r="L113" s="652">
        <f>INDEX(Odds!I:I,MATCH(J113,Odds!G:G,0))</f>
        <v>1.6666666666666665</v>
      </c>
      <c r="M113" s="660">
        <f>INDEX(Odds!J:J,MATCH(J113,Odds!G:G,0))</f>
        <v>1</v>
      </c>
      <c r="N113" s="654">
        <f t="shared" si="12"/>
        <v>1.6666666666666665</v>
      </c>
      <c r="O113" s="525"/>
      <c r="P113" s="58"/>
      <c r="R113" s="35" t="str">
        <f>IF(Odds!G113="","",Odds!G113)</f>
        <v>Reading</v>
      </c>
      <c r="S113" s="36" t="str">
        <f>INDEX(Odds!H:H,MATCH(R113,Odds!G:G,0))</f>
        <v>14/5</v>
      </c>
      <c r="T113" s="40">
        <f t="shared" si="11"/>
        <v>0</v>
      </c>
      <c r="Y113" s="8">
        <f>INDEX(Odds!K:K,MATCH(J113,Odds!G:G,0))</f>
        <v>1</v>
      </c>
      <c r="AB113" s="528" t="str">
        <f>IF(O113="","",INDEX(Odds!H:H,MATCH(O113,Odds!G:G,0)))</f>
        <v/>
      </c>
      <c r="AC113" s="528" t="str">
        <f>IF(INDEX(Table!Q:Q,MATCH(A113,Table!F:F,0))="N","N","")</f>
        <v/>
      </c>
      <c r="AD113" s="58"/>
      <c r="AE113" s="58"/>
      <c r="AF113" s="417"/>
      <c r="AG113" s="58"/>
    </row>
    <row r="114" spans="1:33">
      <c r="A114" s="636" t="str">
        <f>A113</f>
        <v>Rob England</v>
      </c>
      <c r="B114" s="637" t="str">
        <f t="shared" si="13"/>
        <v>Tranmere</v>
      </c>
      <c r="C114" s="631">
        <f>IF(J114="","",INDEX(Odds!C:C,MATCH(J114,Odds!G:G,0)))</f>
        <v>7</v>
      </c>
      <c r="D114" s="638">
        <f t="shared" si="14"/>
        <v>1.6153846153846154</v>
      </c>
      <c r="E114" s="639" t="str">
        <f t="shared" si="10"/>
        <v>x</v>
      </c>
      <c r="F114" s="640"/>
      <c r="G114" s="641"/>
      <c r="H114" s="360">
        <f>IF(G113="",0,1)</f>
        <v>1</v>
      </c>
      <c r="I114" s="360"/>
      <c r="J114" s="419" t="s">
        <v>629</v>
      </c>
      <c r="K114" s="655" t="str">
        <f>INDEX(Odds!H:H,MATCH(J114,Odds!G:G,0))</f>
        <v>8/13</v>
      </c>
      <c r="L114" s="656">
        <f>INDEX(Odds!I:I,MATCH(J114,Odds!G:G,0))</f>
        <v>1.6153846153846154</v>
      </c>
      <c r="M114" s="653">
        <f>INDEX(Odds!J:J,MATCH(J114,Odds!G:G,0))</f>
        <v>0</v>
      </c>
      <c r="N114" s="654">
        <f t="shared" si="12"/>
        <v>0</v>
      </c>
      <c r="O114" s="525"/>
      <c r="P114" s="58"/>
      <c r="R114" s="35" t="str">
        <f>IF(Odds!G114="","",Odds!G114)</f>
        <v>Huddersfield</v>
      </c>
      <c r="S114" s="36" t="str">
        <f>INDEX(Odds!H:H,MATCH(R114,Odds!G:G,0))</f>
        <v>9/5</v>
      </c>
      <c r="T114" s="40">
        <f t="shared" si="11"/>
        <v>0</v>
      </c>
      <c r="Y114" s="8">
        <f>INDEX(Odds!K:K,MATCH(J114,Odds!G:G,0))</f>
        <v>1</v>
      </c>
      <c r="AB114" s="528" t="str">
        <f>IF(O114="","",INDEX(Odds!H:H,MATCH(O114,Odds!G:G,0)))</f>
        <v/>
      </c>
      <c r="AC114" s="528" t="str">
        <f>IF(INDEX(Table!Q:Q,MATCH(A114,Table!F:F,0))="N","N","")</f>
        <v/>
      </c>
      <c r="AD114" s="58"/>
      <c r="AE114" s="58"/>
      <c r="AF114" s="417"/>
      <c r="AG114" s="58"/>
    </row>
    <row r="115" spans="1:33" ht="13.5" thickBot="1">
      <c r="A115" s="642" t="str">
        <f>A113</f>
        <v>Rob England</v>
      </c>
      <c r="B115" s="643" t="str">
        <f t="shared" si="13"/>
        <v>Man C</v>
      </c>
      <c r="C115" s="644">
        <f>IF(J115="","",INDEX(Odds!C:C,MATCH(J115,Odds!G:G,0)))</f>
        <v>1</v>
      </c>
      <c r="D115" s="645">
        <f t="shared" si="14"/>
        <v>1.6666666666666665</v>
      </c>
      <c r="E115" s="639" t="str">
        <f t="shared" si="10"/>
        <v>√</v>
      </c>
      <c r="F115" s="640"/>
      <c r="G115" s="641"/>
      <c r="H115" s="360"/>
      <c r="I115" s="360"/>
      <c r="J115" s="420" t="s">
        <v>633</v>
      </c>
      <c r="K115" s="657" t="str">
        <f>INDEX(Odds!H:H,MATCH(J115,Odds!G:G,0))</f>
        <v>4/6</v>
      </c>
      <c r="L115" s="658">
        <f>INDEX(Odds!I:I,MATCH(J115,Odds!G:G,0))</f>
        <v>1.6666666666666665</v>
      </c>
      <c r="M115" s="653">
        <f>INDEX(Odds!J:J,MATCH(J115,Odds!G:G,0))</f>
        <v>1</v>
      </c>
      <c r="N115" s="659">
        <f t="shared" si="12"/>
        <v>1.6666666666666665</v>
      </c>
      <c r="O115" s="526"/>
      <c r="P115" s="58"/>
      <c r="R115" s="35" t="str">
        <f>IF(Odds!G115="","",Odds!G115)</f>
        <v>Lincoln</v>
      </c>
      <c r="S115" s="36" t="str">
        <f>INDEX(Odds!H:H,MATCH(R115,Odds!G:G,0))</f>
        <v>7/5</v>
      </c>
      <c r="T115" s="40">
        <f t="shared" si="11"/>
        <v>1</v>
      </c>
      <c r="Y115" s="8">
        <f>INDEX(Odds!K:K,MATCH(J115,Odds!G:G,0))</f>
        <v>1</v>
      </c>
      <c r="AB115" s="529" t="str">
        <f>IF(O115="","",INDEX(Odds!H:H,MATCH(O115,Odds!G:G,0)))</f>
        <v/>
      </c>
      <c r="AC115" s="529" t="str">
        <f>IF(INDEX(Table!Q:Q,MATCH(A115,Table!F:F,0))="N","N","")</f>
        <v/>
      </c>
      <c r="AD115" s="58"/>
      <c r="AE115" s="58"/>
      <c r="AF115" s="417"/>
      <c r="AG115" s="58"/>
    </row>
    <row r="116" spans="1:33" ht="13.9" thickTop="1" thickBot="1">
      <c r="A116" s="629" t="str">
        <f>Results!B116</f>
        <v>Simon Greenhalgh</v>
      </c>
      <c r="B116" s="630" t="str">
        <f t="shared" si="13"/>
        <v>Bournemouth</v>
      </c>
      <c r="C116" s="631">
        <f>IF(J116="","",INDEX(Odds!C:C,MATCH(J116,Odds!G:G,0)))</f>
        <v>7</v>
      </c>
      <c r="D116" s="632">
        <f t="shared" si="14"/>
        <v>2.4</v>
      </c>
      <c r="E116" s="633" t="str">
        <f t="shared" si="10"/>
        <v>√</v>
      </c>
      <c r="F116" s="634">
        <f>IF(J116="",-10,INDEX(Results!T:T,MATCH(A116,Results!V:V,0)))</f>
        <v>5.6</v>
      </c>
      <c r="G116" s="635">
        <f>IF(J116="","",INDEX(Results!AI:AI,MATCH(A116,Results!V:V,0)))</f>
        <v>43</v>
      </c>
      <c r="H116" s="360" t="str">
        <f>IF(INDEX(Table!Q:Q,MATCH(A116,Table!F:F,0))="N","N","Y")</f>
        <v>Y</v>
      </c>
      <c r="I116" s="359">
        <f>INDEX(Picks!AG:AG,MATCH(A116,Picks!AD:AD,0))</f>
        <v>8</v>
      </c>
      <c r="J116" s="419" t="s">
        <v>581</v>
      </c>
      <c r="K116" s="651" t="str">
        <f>INDEX(Odds!H:H,MATCH(J116,Odds!G:G,0))</f>
        <v>7/5</v>
      </c>
      <c r="L116" s="652">
        <f>INDEX(Odds!I:I,MATCH(J116,Odds!G:G,0))</f>
        <v>2.4</v>
      </c>
      <c r="M116" s="660">
        <f>INDEX(Odds!J:J,MATCH(J116,Odds!G:G,0))</f>
        <v>1</v>
      </c>
      <c r="N116" s="654">
        <f t="shared" si="12"/>
        <v>2.4</v>
      </c>
      <c r="O116" s="525"/>
      <c r="P116" s="58"/>
      <c r="R116" s="35" t="str">
        <f>IF(Odds!G116="","",Odds!G116)</f>
        <v>Port Vale</v>
      </c>
      <c r="S116" s="36" t="str">
        <f>INDEX(Odds!H:H,MATCH(R116,Odds!G:G,0))</f>
        <v>6/4</v>
      </c>
      <c r="T116" s="40">
        <f t="shared" si="11"/>
        <v>1</v>
      </c>
      <c r="Y116" s="8">
        <f>INDEX(Odds!K:K,MATCH(J116,Odds!G:G,0))</f>
        <v>1</v>
      </c>
      <c r="AB116" s="528" t="str">
        <f>IF(O116="","",INDEX(Odds!H:H,MATCH(O116,Odds!G:G,0)))</f>
        <v/>
      </c>
      <c r="AC116" s="528" t="str">
        <f>IF(INDEX(Table!Q:Q,MATCH(A116,Table!F:F,0))="N","N","")</f>
        <v/>
      </c>
      <c r="AD116" s="58"/>
      <c r="AE116" s="58"/>
      <c r="AF116" s="417"/>
      <c r="AG116" s="58"/>
    </row>
    <row r="117" spans="1:33">
      <c r="A117" s="636" t="str">
        <f>A116</f>
        <v>Simon Greenhalgh</v>
      </c>
      <c r="B117" s="637" t="str">
        <f t="shared" si="13"/>
        <v>Stoke</v>
      </c>
      <c r="C117" s="631">
        <f>IF(J117="","",INDEX(Odds!C:C,MATCH(J117,Odds!G:G,0)))</f>
        <v>7</v>
      </c>
      <c r="D117" s="638">
        <f t="shared" si="14"/>
        <v>3</v>
      </c>
      <c r="E117" s="639" t="str">
        <f t="shared" si="10"/>
        <v>√</v>
      </c>
      <c r="F117" s="640"/>
      <c r="G117" s="641"/>
      <c r="H117" s="360">
        <f>IF(G116="",0,1)</f>
        <v>1</v>
      </c>
      <c r="I117" s="360"/>
      <c r="J117" s="419" t="s">
        <v>599</v>
      </c>
      <c r="K117" s="655" t="str">
        <f>INDEX(Odds!H:H,MATCH(J117,Odds!G:G,0))</f>
        <v>2/1</v>
      </c>
      <c r="L117" s="656">
        <f>INDEX(Odds!I:I,MATCH(J117,Odds!G:G,0))</f>
        <v>3</v>
      </c>
      <c r="M117" s="653">
        <f>INDEX(Odds!J:J,MATCH(J117,Odds!G:G,0))</f>
        <v>1</v>
      </c>
      <c r="N117" s="654">
        <f t="shared" si="12"/>
        <v>3</v>
      </c>
      <c r="O117" s="525"/>
      <c r="P117" s="58"/>
      <c r="R117" s="35" t="str">
        <f>IF(Odds!G117="","",Odds!G117)</f>
        <v>Plymouth</v>
      </c>
      <c r="S117" s="36" t="str">
        <f>INDEX(Odds!H:H,MATCH(R117,Odds!G:G,0))</f>
        <v>5/1</v>
      </c>
      <c r="T117" s="40">
        <f t="shared" si="11"/>
        <v>1</v>
      </c>
      <c r="Y117" s="8">
        <f>INDEX(Odds!K:K,MATCH(J117,Odds!G:G,0))</f>
        <v>1</v>
      </c>
      <c r="AB117" s="528" t="str">
        <f>IF(O117="","",INDEX(Odds!H:H,MATCH(O117,Odds!G:G,0)))</f>
        <v/>
      </c>
      <c r="AC117" s="528" t="str">
        <f>IF(INDEX(Table!Q:Q,MATCH(A117,Table!F:F,0))="N","N","")</f>
        <v/>
      </c>
      <c r="AD117" s="58"/>
      <c r="AE117" s="58"/>
      <c r="AF117" s="417"/>
      <c r="AG117" s="58"/>
    </row>
    <row r="118" spans="1:33" ht="13.5" thickBot="1">
      <c r="A118" s="642" t="str">
        <f>A116</f>
        <v>Simon Greenhalgh</v>
      </c>
      <c r="B118" s="643" t="str">
        <f t="shared" si="13"/>
        <v>Exeter</v>
      </c>
      <c r="C118" s="644">
        <f>IF(J118="","",INDEX(Odds!C:C,MATCH(J118,Odds!G:G,0)))</f>
        <v>7</v>
      </c>
      <c r="D118" s="645">
        <f t="shared" si="14"/>
        <v>2.75</v>
      </c>
      <c r="E118" s="639" t="str">
        <f t="shared" si="10"/>
        <v>x</v>
      </c>
      <c r="F118" s="640"/>
      <c r="G118" s="641"/>
      <c r="H118" s="360"/>
      <c r="I118" s="360"/>
      <c r="J118" s="420" t="s">
        <v>552</v>
      </c>
      <c r="K118" s="657" t="str">
        <f>INDEX(Odds!H:H,MATCH(J118,Odds!G:G,0))</f>
        <v>7/4</v>
      </c>
      <c r="L118" s="658">
        <f>INDEX(Odds!I:I,MATCH(J118,Odds!G:G,0))</f>
        <v>2.75</v>
      </c>
      <c r="M118" s="653">
        <f>INDEX(Odds!J:J,MATCH(J118,Odds!G:G,0))</f>
        <v>0</v>
      </c>
      <c r="N118" s="659">
        <f t="shared" si="12"/>
        <v>0</v>
      </c>
      <c r="O118" s="526"/>
      <c r="P118" s="58"/>
      <c r="R118" s="35" t="str">
        <f>IF(Odds!G118="","",Odds!G118)</f>
        <v>Stevenage</v>
      </c>
      <c r="S118" s="36" t="str">
        <f>INDEX(Odds!H:H,MATCH(R118,Odds!G:G,0))</f>
        <v>9/5</v>
      </c>
      <c r="T118" s="40">
        <f t="shared" si="11"/>
        <v>0</v>
      </c>
      <c r="Y118" s="8">
        <f>INDEX(Odds!K:K,MATCH(J118,Odds!G:G,0))</f>
        <v>1</v>
      </c>
      <c r="AB118" s="529" t="str">
        <f>IF(O118="","",INDEX(Odds!H:H,MATCH(O118,Odds!G:G,0)))</f>
        <v/>
      </c>
      <c r="AC118" s="529" t="str">
        <f>IF(INDEX(Table!Q:Q,MATCH(A118,Table!F:F,0))="N","N","")</f>
        <v/>
      </c>
      <c r="AD118" s="58"/>
      <c r="AE118" s="58"/>
      <c r="AF118" s="417"/>
      <c r="AG118" s="58"/>
    </row>
    <row r="119" spans="1:33" ht="13.9" thickTop="1" thickBot="1">
      <c r="A119" s="629" t="str">
        <f>Results!B119</f>
        <v>Stephen Barr</v>
      </c>
      <c r="B119" s="630" t="str">
        <f t="shared" si="13"/>
        <v>Everton</v>
      </c>
      <c r="C119" s="631">
        <f>IF(J119="","",INDEX(Odds!C:C,MATCH(J119,Odds!G:G,0)))</f>
        <v>7</v>
      </c>
      <c r="D119" s="632">
        <f t="shared" si="14"/>
        <v>2.4500000000000002</v>
      </c>
      <c r="E119" s="633" t="str">
        <f t="shared" si="10"/>
        <v>x</v>
      </c>
      <c r="F119" s="634">
        <f>IF(J119="",-10,INDEX(Results!T:T,MATCH(A119,Results!V:V,0)))</f>
        <v>-4.8499999999999996</v>
      </c>
      <c r="G119" s="635">
        <f>IF(J119="","",INDEX(Results!AI:AI,MATCH(A119,Results!V:V,0)))</f>
        <v>40.903750000000002</v>
      </c>
      <c r="H119" s="360" t="str">
        <f>IF(INDEX(Table!Q:Q,MATCH(A119,Table!F:F,0))="N","N","Y")</f>
        <v>Y</v>
      </c>
      <c r="I119" s="359">
        <f>INDEX(Picks!AG:AG,MATCH(A119,Picks!AD:AD,0))</f>
        <v>27</v>
      </c>
      <c r="J119" s="419" t="s">
        <v>585</v>
      </c>
      <c r="K119" s="651" t="str">
        <f>INDEX(Odds!H:H,MATCH(J119,Odds!G:G,0))</f>
        <v>29/20</v>
      </c>
      <c r="L119" s="652">
        <f>INDEX(Odds!I:I,MATCH(J119,Odds!G:G,0))</f>
        <v>2.4500000000000002</v>
      </c>
      <c r="M119" s="660">
        <f>INDEX(Odds!J:J,MATCH(J119,Odds!G:G,0))</f>
        <v>0</v>
      </c>
      <c r="N119" s="654">
        <f t="shared" si="12"/>
        <v>0</v>
      </c>
      <c r="O119" s="525"/>
      <c r="P119" s="58"/>
      <c r="R119" s="35" t="str">
        <f>IF(Odds!G119="","",Odds!G119)</f>
        <v>Blackpool</v>
      </c>
      <c r="S119" s="36" t="str">
        <f>INDEX(Odds!H:H,MATCH(R119,Odds!G:G,0))</f>
        <v>13/8</v>
      </c>
      <c r="T119" s="40">
        <f t="shared" si="11"/>
        <v>0</v>
      </c>
      <c r="Y119" s="8">
        <f>INDEX(Odds!K:K,MATCH(J119,Odds!G:G,0))</f>
        <v>1</v>
      </c>
      <c r="AB119" s="528" t="str">
        <f>IF(O119="","",INDEX(Odds!H:H,MATCH(O119,Odds!G:G,0)))</f>
        <v/>
      </c>
      <c r="AC119" s="528" t="str">
        <f>IF(INDEX(Table!Q:Q,MATCH(A119,Table!F:F,0))="N","N","")</f>
        <v/>
      </c>
      <c r="AD119" s="58"/>
      <c r="AE119" s="58"/>
      <c r="AF119" s="417"/>
      <c r="AG119" s="58"/>
    </row>
    <row r="120" spans="1:33">
      <c r="A120" s="636" t="str">
        <f>A119</f>
        <v>Stephen Barr</v>
      </c>
      <c r="B120" s="637" t="str">
        <f>IF(J120="","",J120)</f>
        <v>Spurs</v>
      </c>
      <c r="C120" s="631">
        <f>IF(J120="","",INDEX(Odds!C:C,MATCH(J120,Odds!G:G,0)))</f>
        <v>7</v>
      </c>
      <c r="D120" s="638">
        <f t="shared" si="14"/>
        <v>2.15</v>
      </c>
      <c r="E120" s="639" t="str">
        <f t="shared" si="10"/>
        <v>√</v>
      </c>
      <c r="F120" s="640"/>
      <c r="G120" s="641"/>
      <c r="H120" s="360">
        <f>IF(G119="",0,1)</f>
        <v>1</v>
      </c>
      <c r="I120" s="360"/>
      <c r="J120" s="419" t="s">
        <v>412</v>
      </c>
      <c r="K120" s="655" t="str">
        <f>INDEX(Odds!H:H,MATCH(J120,Odds!G:G,0))</f>
        <v>23/20</v>
      </c>
      <c r="L120" s="656">
        <f>INDEX(Odds!I:I,MATCH(J120,Odds!G:G,0))</f>
        <v>2.15</v>
      </c>
      <c r="M120" s="653">
        <f>INDEX(Odds!J:J,MATCH(J120,Odds!G:G,0))</f>
        <v>1</v>
      </c>
      <c r="N120" s="654">
        <f t="shared" si="12"/>
        <v>2.15</v>
      </c>
      <c r="O120" s="525"/>
      <c r="P120" s="58"/>
      <c r="R120" s="35" t="str">
        <f>IF(Odds!G120="","",Odds!G120)</f>
        <v>Bolton</v>
      </c>
      <c r="S120" s="36" t="str">
        <f>INDEX(Odds!H:H,MATCH(R120,Odds!G:G,0))</f>
        <v>13/10</v>
      </c>
      <c r="T120" s="40">
        <f t="shared" si="11"/>
        <v>0</v>
      </c>
      <c r="Y120" s="8">
        <f>INDEX(Odds!K:K,MATCH(J120,Odds!G:G,0))</f>
        <v>1</v>
      </c>
      <c r="AB120" s="528" t="str">
        <f>IF(O120="","",INDEX(Odds!H:H,MATCH(O120,Odds!G:G,0)))</f>
        <v/>
      </c>
      <c r="AC120" s="528" t="str">
        <f>IF(INDEX(Table!Q:Q,MATCH(A120,Table!F:F,0))="N","N","")</f>
        <v/>
      </c>
      <c r="AD120" s="58"/>
      <c r="AE120" s="58"/>
      <c r="AF120" s="417"/>
      <c r="AG120" s="58"/>
    </row>
    <row r="121" spans="1:33" ht="13.5" thickBot="1">
      <c r="A121" s="642" t="str">
        <f>A119</f>
        <v>Stephen Barr</v>
      </c>
      <c r="B121" s="643" t="str">
        <f t="shared" si="13"/>
        <v>Bournemouth draw</v>
      </c>
      <c r="C121" s="644">
        <f>IF(J121="","",INDEX(Odds!C:C,MATCH(J121,Odds!G:G,0)))</f>
        <v>7</v>
      </c>
      <c r="D121" s="645">
        <f t="shared" si="14"/>
        <v>3.5</v>
      </c>
      <c r="E121" s="639" t="str">
        <f t="shared" si="10"/>
        <v>x</v>
      </c>
      <c r="F121" s="640"/>
      <c r="G121" s="641"/>
      <c r="H121" s="360"/>
      <c r="I121" s="360"/>
      <c r="J121" s="597" t="s">
        <v>637</v>
      </c>
      <c r="K121" s="657" t="str">
        <f>INDEX(Odds!H:H,MATCH(J121,Odds!G:G,0))</f>
        <v>5/2</v>
      </c>
      <c r="L121" s="658">
        <f>INDEX(Odds!I:I,MATCH(J121,Odds!G:G,0))</f>
        <v>3.5</v>
      </c>
      <c r="M121" s="653">
        <f>INDEX(Odds!J:J,MATCH(J121,Odds!G:G,0))</f>
        <v>0</v>
      </c>
      <c r="N121" s="659">
        <f t="shared" si="12"/>
        <v>0</v>
      </c>
      <c r="O121" s="526"/>
      <c r="P121" s="58"/>
      <c r="R121" s="35" t="str">
        <f>IF(Odds!G121="","",Odds!G121)</f>
        <v>Wycombe</v>
      </c>
      <c r="S121" s="36" t="str">
        <f>INDEX(Odds!H:H,MATCH(R121,Odds!G:G,0))</f>
        <v>23/20</v>
      </c>
      <c r="T121" s="40">
        <f t="shared" si="11"/>
        <v>0</v>
      </c>
      <c r="Y121" s="8">
        <f>INDEX(Odds!K:K,MATCH(J121,Odds!G:G,0))</f>
        <v>1</v>
      </c>
      <c r="AB121" s="529" t="str">
        <f>IF(O121="","",INDEX(Odds!H:H,MATCH(O121,Odds!G:G,0)))</f>
        <v/>
      </c>
      <c r="AC121" s="529" t="str">
        <f>IF(INDEX(Table!Q:Q,MATCH(A121,Table!F:F,0))="N","N","")</f>
        <v/>
      </c>
      <c r="AD121" s="58"/>
      <c r="AE121" s="58"/>
      <c r="AF121" s="417"/>
      <c r="AG121" s="58"/>
    </row>
    <row r="122" spans="1:33" ht="13.9" thickTop="1" thickBot="1">
      <c r="A122" s="629" t="str">
        <f>Results!B122</f>
        <v>Steve Carter</v>
      </c>
      <c r="B122" s="630" t="str">
        <f t="shared" si="13"/>
        <v>Bournemouth</v>
      </c>
      <c r="C122" s="631">
        <f>IF(J122="","",INDEX(Odds!C:C,MATCH(J122,Odds!G:G,0)))</f>
        <v>7</v>
      </c>
      <c r="D122" s="632">
        <f t="shared" si="14"/>
        <v>2.4</v>
      </c>
      <c r="E122" s="633" t="str">
        <f t="shared" si="10"/>
        <v>√</v>
      </c>
      <c r="F122" s="634">
        <f>IF(J122="",-10,INDEX(Results!T:T,MATCH(A122,Results!V:V,0)))</f>
        <v>2.7100000000000009</v>
      </c>
      <c r="G122" s="635">
        <f>IF(J122="","",INDEX(Results!AI:AI,MATCH(A122,Results!V:V,0)))</f>
        <v>28.9495</v>
      </c>
      <c r="H122" s="360" t="str">
        <f>IF(INDEX(Table!Q:Q,MATCH(A122,Table!F:F,0))="N","N","Y")</f>
        <v>Y</v>
      </c>
      <c r="I122" s="359">
        <f>INDEX(Picks!AG:AG,MATCH(A122,Picks!AD:AD,0))</f>
        <v>11</v>
      </c>
      <c r="J122" s="419" t="s">
        <v>581</v>
      </c>
      <c r="K122" s="651" t="str">
        <f>INDEX(Odds!H:H,MATCH(J122,Odds!G:G,0))</f>
        <v>7/5</v>
      </c>
      <c r="L122" s="652">
        <f>INDEX(Odds!I:I,MATCH(J122,Odds!G:G,0))</f>
        <v>2.4</v>
      </c>
      <c r="M122" s="660">
        <f>INDEX(Odds!J:J,MATCH(J122,Odds!G:G,0))</f>
        <v>1</v>
      </c>
      <c r="N122" s="654">
        <f t="shared" si="12"/>
        <v>2.4</v>
      </c>
      <c r="O122" s="525"/>
      <c r="P122" s="58"/>
      <c r="R122" s="35" t="str">
        <f>IF(Odds!G122="","",Odds!G122)</f>
        <v>Cardiff</v>
      </c>
      <c r="S122" s="36" t="str">
        <f>INDEX(Odds!H:H,MATCH(R122,Odds!G:G,0))</f>
        <v>6/4</v>
      </c>
      <c r="T122" s="40">
        <f t="shared" si="11"/>
        <v>0</v>
      </c>
      <c r="Y122" s="8">
        <f>INDEX(Odds!K:K,MATCH(J122,Odds!G:G,0))</f>
        <v>1</v>
      </c>
      <c r="AB122" s="528" t="str">
        <f>IF(O122="","",INDEX(Odds!H:H,MATCH(O122,Odds!G:G,0)))</f>
        <v/>
      </c>
      <c r="AC122" s="528" t="str">
        <f>IF(INDEX(Table!Q:Q,MATCH(A122,Table!F:F,0))="N","N","")</f>
        <v/>
      </c>
      <c r="AD122" s="58"/>
      <c r="AE122" s="58"/>
      <c r="AF122" s="417"/>
      <c r="AG122" s="58"/>
    </row>
    <row r="123" spans="1:33">
      <c r="A123" s="636" t="str">
        <f>A122</f>
        <v>Steve Carter</v>
      </c>
      <c r="B123" s="637" t="str">
        <f t="shared" si="13"/>
        <v>Everton</v>
      </c>
      <c r="C123" s="631">
        <f>IF(J123="","",INDEX(Odds!C:C,MATCH(J123,Odds!G:G,0)))</f>
        <v>7</v>
      </c>
      <c r="D123" s="638">
        <f t="shared" si="14"/>
        <v>2.4500000000000002</v>
      </c>
      <c r="E123" s="639" t="str">
        <f t="shared" si="10"/>
        <v>x</v>
      </c>
      <c r="F123" s="640"/>
      <c r="G123" s="641"/>
      <c r="H123" s="360">
        <f>IF(G122="",0,1)</f>
        <v>1</v>
      </c>
      <c r="I123" s="360"/>
      <c r="J123" s="419" t="s">
        <v>585</v>
      </c>
      <c r="K123" s="655" t="str">
        <f>INDEX(Odds!H:H,MATCH(J123,Odds!G:G,0))</f>
        <v>29/20</v>
      </c>
      <c r="L123" s="656">
        <f>INDEX(Odds!I:I,MATCH(J123,Odds!G:G,0))</f>
        <v>2.4500000000000002</v>
      </c>
      <c r="M123" s="653">
        <f>INDEX(Odds!J:J,MATCH(J123,Odds!G:G,0))</f>
        <v>0</v>
      </c>
      <c r="N123" s="654">
        <f t="shared" si="12"/>
        <v>0</v>
      </c>
      <c r="O123" s="525"/>
      <c r="P123" s="58"/>
      <c r="R123" s="35" t="str">
        <f>IF(Odds!G123="","",Odds!G123)</f>
        <v>Doncaster</v>
      </c>
      <c r="S123" s="36" t="str">
        <f>INDEX(Odds!H:H,MATCH(R123,Odds!G:G,0))</f>
        <v>7/4</v>
      </c>
      <c r="T123" s="40">
        <f t="shared" si="11"/>
        <v>0</v>
      </c>
      <c r="Y123" s="8">
        <f>INDEX(Odds!K:K,MATCH(J123,Odds!G:G,0))</f>
        <v>1</v>
      </c>
      <c r="AB123" s="528" t="str">
        <f>IF(O123="","",INDEX(Odds!H:H,MATCH(O123,Odds!G:G,0)))</f>
        <v/>
      </c>
      <c r="AC123" s="528" t="str">
        <f>IF(INDEX(Table!Q:Q,MATCH(A123,Table!F:F,0))="N","N","")</f>
        <v/>
      </c>
      <c r="AD123" s="58"/>
      <c r="AE123" s="58"/>
      <c r="AF123" s="417"/>
      <c r="AG123" s="58"/>
    </row>
    <row r="124" spans="1:33" ht="13.5" thickBot="1">
      <c r="A124" s="642" t="str">
        <f>A122</f>
        <v>Steve Carter</v>
      </c>
      <c r="B124" s="643" t="str">
        <f t="shared" si="13"/>
        <v>Spurs</v>
      </c>
      <c r="C124" s="644">
        <f>IF(J124="","",INDEX(Odds!C:C,MATCH(J124,Odds!G:G,0)))</f>
        <v>7</v>
      </c>
      <c r="D124" s="645">
        <f t="shared" si="14"/>
        <v>2.15</v>
      </c>
      <c r="E124" s="639" t="str">
        <f t="shared" si="10"/>
        <v>√</v>
      </c>
      <c r="F124" s="640"/>
      <c r="G124" s="641"/>
      <c r="H124" s="360"/>
      <c r="I124" s="360"/>
      <c r="J124" s="420" t="s">
        <v>412</v>
      </c>
      <c r="K124" s="657" t="str">
        <f>INDEX(Odds!H:H,MATCH(J124,Odds!G:G,0))</f>
        <v>23/20</v>
      </c>
      <c r="L124" s="658">
        <f>INDEX(Odds!I:I,MATCH(J124,Odds!G:G,0))</f>
        <v>2.15</v>
      </c>
      <c r="M124" s="653">
        <f>INDEX(Odds!J:J,MATCH(J124,Odds!G:G,0))</f>
        <v>1</v>
      </c>
      <c r="N124" s="659">
        <f t="shared" si="12"/>
        <v>2.15</v>
      </c>
      <c r="O124" s="526"/>
      <c r="P124" s="58"/>
      <c r="R124" s="35" t="str">
        <f>IF(Odds!G124="","",Odds!G124)</f>
        <v>Rotherham</v>
      </c>
      <c r="S124" s="36" t="str">
        <f>INDEX(Odds!H:H,MATCH(R124,Odds!G:G,0))</f>
        <v>13/8</v>
      </c>
      <c r="T124" s="40">
        <f t="shared" si="11"/>
        <v>0</v>
      </c>
      <c r="Y124" s="8">
        <f>INDEX(Odds!K:K,MATCH(J124,Odds!G:G,0))</f>
        <v>1</v>
      </c>
      <c r="AB124" s="529" t="str">
        <f>IF(O124="","",INDEX(Odds!H:H,MATCH(O124,Odds!G:G,0)))</f>
        <v/>
      </c>
      <c r="AC124" s="529" t="str">
        <f>IF(INDEX(Table!Q:Q,MATCH(A124,Table!F:F,0))="N","N","")</f>
        <v/>
      </c>
      <c r="AD124" s="58"/>
      <c r="AE124" s="58"/>
      <c r="AF124" s="417"/>
      <c r="AG124" s="58"/>
    </row>
    <row r="125" spans="1:33" ht="13.9" thickTop="1" thickBot="1">
      <c r="A125" s="629" t="str">
        <f>Results!B125</f>
        <v>Steve Waterhouse</v>
      </c>
      <c r="B125" s="630" t="str">
        <f t="shared" si="13"/>
        <v>West Brom</v>
      </c>
      <c r="C125" s="631">
        <f>IF(J125="","",INDEX(Odds!C:C,MATCH(J125,Odds!G:G,0)))</f>
        <v>7</v>
      </c>
      <c r="D125" s="632">
        <f t="shared" si="14"/>
        <v>1.8</v>
      </c>
      <c r="E125" s="633" t="str">
        <f t="shared" si="10"/>
        <v>x</v>
      </c>
      <c r="F125" s="634">
        <f>IF(J125="",-10,INDEX(Results!T:T,MATCH(A125,Results!V:V,0)))</f>
        <v>-4.9000000000000004</v>
      </c>
      <c r="G125" s="635">
        <f>IF(J125="","",INDEX(Results!AI:AI,MATCH(A125,Results!V:V,0)))</f>
        <v>17.25090909090909</v>
      </c>
      <c r="H125" s="360" t="str">
        <f>IF(INDEX(Table!Q:Q,MATCH(A125,Table!F:F,0))="N","N","Y")</f>
        <v>Y</v>
      </c>
      <c r="I125" s="359">
        <f>INDEX(Picks!AG:AG,MATCH(A125,Picks!AD:AD,0))</f>
        <v>31</v>
      </c>
      <c r="J125" s="419" t="s">
        <v>605</v>
      </c>
      <c r="K125" s="651" t="str">
        <f>INDEX(Odds!H:H,MATCH(J125,Odds!G:G,0))</f>
        <v>4/5</v>
      </c>
      <c r="L125" s="652">
        <f>INDEX(Odds!I:I,MATCH(J125,Odds!G:G,0))</f>
        <v>1.8</v>
      </c>
      <c r="M125" s="660">
        <f>INDEX(Odds!J:J,MATCH(J125,Odds!G:G,0))</f>
        <v>0</v>
      </c>
      <c r="N125" s="654">
        <f t="shared" si="12"/>
        <v>0</v>
      </c>
      <c r="O125" s="525"/>
      <c r="P125" s="58"/>
      <c r="R125" s="35" t="str">
        <f>IF(Odds!G125="","",Odds!G125)</f>
        <v>Colchester</v>
      </c>
      <c r="S125" s="36" t="str">
        <f>INDEX(Odds!H:H,MATCH(R125,Odds!G:G,0))</f>
        <v>6/4</v>
      </c>
      <c r="T125" s="40">
        <f t="shared" si="11"/>
        <v>0</v>
      </c>
      <c r="Y125" s="8">
        <f>INDEX(Odds!K:K,MATCH(J125,Odds!G:G,0))</f>
        <v>1</v>
      </c>
      <c r="AB125" s="528" t="str">
        <f>IF(O125="","",INDEX(Odds!H:H,MATCH(O125,Odds!G:G,0)))</f>
        <v/>
      </c>
      <c r="AC125" s="528" t="str">
        <f>IF(INDEX(Table!Q:Q,MATCH(A125,Table!F:F,0))="N","N","")</f>
        <v/>
      </c>
      <c r="AD125" s="58"/>
      <c r="AE125" s="58"/>
      <c r="AF125" s="417"/>
      <c r="AG125" s="58"/>
    </row>
    <row r="126" spans="1:33">
      <c r="A126" s="636" t="str">
        <f>A125</f>
        <v>Steve Waterhouse</v>
      </c>
      <c r="B126" s="637" t="str">
        <f t="shared" si="13"/>
        <v>Leicester</v>
      </c>
      <c r="C126" s="631">
        <f>IF(J126="","",INDEX(Odds!C:C,MATCH(J126,Odds!G:G,0)))</f>
        <v>7</v>
      </c>
      <c r="D126" s="638">
        <f t="shared" si="14"/>
        <v>1.9090909090909092</v>
      </c>
      <c r="E126" s="639" t="str">
        <f t="shared" si="10"/>
        <v>x</v>
      </c>
      <c r="F126" s="640"/>
      <c r="G126" s="641"/>
      <c r="H126" s="360">
        <f>IF(G125="",0,1)</f>
        <v>1</v>
      </c>
      <c r="I126" s="360"/>
      <c r="J126" s="419" t="s">
        <v>595</v>
      </c>
      <c r="K126" s="655" t="str">
        <f>INDEX(Odds!H:H,MATCH(J126,Odds!G:G,0))</f>
        <v>10/11</v>
      </c>
      <c r="L126" s="656">
        <f>INDEX(Odds!I:I,MATCH(J126,Odds!G:G,0))</f>
        <v>1.9090909090909092</v>
      </c>
      <c r="M126" s="653">
        <f>INDEX(Odds!J:J,MATCH(J126,Odds!G:G,0))</f>
        <v>0</v>
      </c>
      <c r="N126" s="654">
        <f t="shared" si="12"/>
        <v>0</v>
      </c>
      <c r="O126" s="525"/>
      <c r="P126" s="58"/>
      <c r="R126" s="35" t="str">
        <f>IF(Odds!G126="","",Odds!G126)</f>
        <v>Barrow</v>
      </c>
      <c r="S126" s="36" t="str">
        <f>INDEX(Odds!H:H,MATCH(R126,Odds!G:G,0))</f>
        <v>14/5</v>
      </c>
      <c r="T126" s="40">
        <f t="shared" si="11"/>
        <v>0</v>
      </c>
      <c r="Y126" s="8">
        <f>INDEX(Odds!K:K,MATCH(J126,Odds!G:G,0))</f>
        <v>1</v>
      </c>
      <c r="AB126" s="528" t="str">
        <f>IF(O126="","",INDEX(Odds!H:H,MATCH(O126,Odds!G:G,0)))</f>
        <v/>
      </c>
      <c r="AC126" s="528" t="str">
        <f>IF(INDEX(Table!Q:Q,MATCH(A126,Table!F:F,0))="N","N","")</f>
        <v/>
      </c>
      <c r="AD126" s="58"/>
      <c r="AE126" s="58"/>
      <c r="AF126" s="417"/>
      <c r="AG126" s="58"/>
    </row>
    <row r="127" spans="1:33" ht="13.5" thickBot="1">
      <c r="A127" s="642" t="str">
        <f>A125</f>
        <v>Steve Waterhouse</v>
      </c>
      <c r="B127" s="643" t="str">
        <f t="shared" si="13"/>
        <v>Bristol C</v>
      </c>
      <c r="C127" s="644">
        <f>IF(J127="","",INDEX(Odds!C:C,MATCH(J127,Odds!G:G,0)))</f>
        <v>7</v>
      </c>
      <c r="D127" s="645">
        <f t="shared" si="14"/>
        <v>2.1</v>
      </c>
      <c r="E127" s="639" t="str">
        <f t="shared" si="10"/>
        <v>√</v>
      </c>
      <c r="F127" s="640"/>
      <c r="G127" s="641"/>
      <c r="H127" s="360"/>
      <c r="I127" s="360"/>
      <c r="J127" s="420" t="s">
        <v>536</v>
      </c>
      <c r="K127" s="657" t="str">
        <f>INDEX(Odds!H:H,MATCH(J127,Odds!G:G,0))</f>
        <v>11/10</v>
      </c>
      <c r="L127" s="658">
        <f>INDEX(Odds!I:I,MATCH(J127,Odds!G:G,0))</f>
        <v>2.1</v>
      </c>
      <c r="M127" s="653">
        <f>INDEX(Odds!J:J,MATCH(J127,Odds!G:G,0))</f>
        <v>1</v>
      </c>
      <c r="N127" s="659">
        <f t="shared" si="12"/>
        <v>2.1</v>
      </c>
      <c r="O127" s="526"/>
      <c r="P127" s="58"/>
      <c r="R127" s="35" t="str">
        <f>IF(Odds!G127="","",Odds!G127)</f>
        <v>MK Dons</v>
      </c>
      <c r="S127" s="36" t="str">
        <f>INDEX(Odds!H:H,MATCH(R127,Odds!G:G,0))</f>
        <v>9/4</v>
      </c>
      <c r="T127" s="40">
        <f t="shared" si="11"/>
        <v>0</v>
      </c>
      <c r="Y127" s="8">
        <f>INDEX(Odds!K:K,MATCH(J127,Odds!G:G,0))</f>
        <v>1</v>
      </c>
      <c r="AB127" s="529" t="str">
        <f>IF(O127="","",INDEX(Odds!H:H,MATCH(O127,Odds!G:G,0)))</f>
        <v/>
      </c>
      <c r="AC127" s="529" t="str">
        <f>IF(INDEX(Table!Q:Q,MATCH(A127,Table!F:F,0))="N","N","")</f>
        <v/>
      </c>
      <c r="AD127" s="58"/>
      <c r="AE127" s="58"/>
      <c r="AF127" s="417"/>
      <c r="AG127" s="58"/>
    </row>
    <row r="128" spans="1:33" ht="13.9" thickTop="1" thickBot="1">
      <c r="A128" s="629" t="str">
        <f>Results!B128</f>
        <v>Tom Robinson</v>
      </c>
      <c r="B128" s="630" t="str">
        <f t="shared" si="13"/>
        <v>Newcastle</v>
      </c>
      <c r="C128" s="631">
        <f>IF(J128="","",INDEX(Odds!C:C,MATCH(J128,Odds!G:G,0)))</f>
        <v>7</v>
      </c>
      <c r="D128" s="632">
        <f t="shared" si="14"/>
        <v>1.4444444444444444</v>
      </c>
      <c r="E128" s="633" t="str">
        <f t="shared" ref="E128:E133" si="15">IF(J128="","",IF(M128=1,"√","x"))</f>
        <v>√</v>
      </c>
      <c r="F128" s="634">
        <f>IF(J128="",-10,INDEX(Results!T:T,MATCH(A128,Results!V:V,0)))</f>
        <v>0.55555555555555536</v>
      </c>
      <c r="G128" s="635">
        <f>IF(J128="","",INDEX(Results!AI:AI,MATCH(A128,Results!V:V,0)))</f>
        <v>15.333333333333336</v>
      </c>
      <c r="H128" s="360" t="str">
        <f>IF(INDEX(Table!Q:Q,MATCH(A128,Table!F:F,0))="N","N","Y")</f>
        <v>Y</v>
      </c>
      <c r="I128" s="359">
        <f>INDEX(Picks!AG:AG,MATCH(A128,Picks!AD:AD,0))</f>
        <v>16</v>
      </c>
      <c r="J128" s="419" t="s">
        <v>588</v>
      </c>
      <c r="K128" s="651" t="str">
        <f>INDEX(Odds!H:H,MATCH(J128,Odds!G:G,0))</f>
        <v>4/9</v>
      </c>
      <c r="L128" s="652">
        <f>INDEX(Odds!I:I,MATCH(J128,Odds!G:G,0))</f>
        <v>1.4444444444444444</v>
      </c>
      <c r="M128" s="660">
        <f>INDEX(Odds!J:J,MATCH(J128,Odds!G:G,0))</f>
        <v>1</v>
      </c>
      <c r="N128" s="654">
        <f t="shared" si="12"/>
        <v>1.4444444444444444</v>
      </c>
      <c r="O128" s="525"/>
      <c r="P128" s="58"/>
      <c r="R128" s="35" t="str">
        <f>IF(Odds!G128="","",Odds!G128)</f>
        <v>Cheltenham</v>
      </c>
      <c r="S128" s="36" t="str">
        <f>INDEX(Odds!H:H,MATCH(R128,Odds!G:G,0))</f>
        <v>14/5</v>
      </c>
      <c r="T128" s="40">
        <f t="shared" si="11"/>
        <v>0</v>
      </c>
      <c r="Y128" s="8">
        <f>INDEX(Odds!K:K,MATCH(J128,Odds!G:G,0))</f>
        <v>1</v>
      </c>
      <c r="AB128" s="528" t="str">
        <f>IF(O128="","",INDEX(Odds!H:H,MATCH(O128,Odds!G:G,0)))</f>
        <v/>
      </c>
      <c r="AC128" s="528" t="str">
        <f>IF(INDEX(Table!Q:Q,MATCH(A128,Table!F:F,0))="N","N","")</f>
        <v/>
      </c>
      <c r="AD128" s="58"/>
      <c r="AE128" s="58"/>
      <c r="AF128" s="417"/>
      <c r="AG128" s="58"/>
    </row>
    <row r="129" spans="1:33">
      <c r="A129" s="636" t="str">
        <f>A128</f>
        <v>Tom Robinson</v>
      </c>
      <c r="B129" s="637" t="str">
        <f t="shared" si="13"/>
        <v>Oldham</v>
      </c>
      <c r="C129" s="631">
        <f>IF(J129="","",INDEX(Odds!C:C,MATCH(J129,Odds!G:G,0)))</f>
        <v>7</v>
      </c>
      <c r="D129" s="638">
        <f t="shared" si="14"/>
        <v>2.5</v>
      </c>
      <c r="E129" s="639" t="str">
        <f t="shared" si="15"/>
        <v>√</v>
      </c>
      <c r="F129" s="640"/>
      <c r="G129" s="641"/>
      <c r="H129" s="360">
        <f>IF(G128="",0,1)</f>
        <v>1</v>
      </c>
      <c r="I129" s="360"/>
      <c r="J129" s="419" t="s">
        <v>627</v>
      </c>
      <c r="K129" s="655" t="str">
        <f>INDEX(Odds!H:H,MATCH(J129,Odds!G:G,0))</f>
        <v>6/4</v>
      </c>
      <c r="L129" s="656">
        <f>INDEX(Odds!I:I,MATCH(J129,Odds!G:G,0))</f>
        <v>2.5</v>
      </c>
      <c r="M129" s="653">
        <f>INDEX(Odds!J:J,MATCH(J129,Odds!G:G,0))</f>
        <v>1</v>
      </c>
      <c r="N129" s="654">
        <f t="shared" si="12"/>
        <v>2.5</v>
      </c>
      <c r="O129" s="525"/>
      <c r="P129" s="58"/>
      <c r="R129" s="35" t="str">
        <f>IF(Odds!G129="","",Odds!G129)</f>
        <v>Barnet</v>
      </c>
      <c r="S129" s="36" t="str">
        <f>INDEX(Odds!H:H,MATCH(R129,Odds!G:G,0))</f>
        <v>13/8</v>
      </c>
      <c r="T129" s="40">
        <f t="shared" si="11"/>
        <v>1</v>
      </c>
      <c r="Y129" s="8">
        <f>INDEX(Odds!K:K,MATCH(J129,Odds!G:G,0))</f>
        <v>1</v>
      </c>
      <c r="AB129" s="528" t="str">
        <f>IF(O129="","",INDEX(Odds!H:H,MATCH(O129,Odds!G:G,0)))</f>
        <v/>
      </c>
      <c r="AC129" s="528" t="str">
        <f>IF(INDEX(Table!Q:Q,MATCH(A129,Table!F:F,0))="N","N","")</f>
        <v/>
      </c>
      <c r="AD129" s="58"/>
      <c r="AE129" s="58"/>
      <c r="AF129" s="417"/>
      <c r="AG129" s="58"/>
    </row>
    <row r="130" spans="1:33" ht="13.5" thickBot="1">
      <c r="A130" s="642" t="str">
        <f>A128</f>
        <v>Tom Robinson</v>
      </c>
      <c r="B130" s="643" t="str">
        <f t="shared" si="13"/>
        <v>Coventry</v>
      </c>
      <c r="C130" s="644">
        <f>IF(J130="","",INDEX(Odds!C:C,MATCH(J130,Odds!G:G,0)))</f>
        <v>7</v>
      </c>
      <c r="D130" s="645">
        <f t="shared" si="14"/>
        <v>1.7272727272727273</v>
      </c>
      <c r="E130" s="639" t="str">
        <f t="shared" si="15"/>
        <v>x</v>
      </c>
      <c r="F130" s="640"/>
      <c r="G130" s="641"/>
      <c r="H130" s="360"/>
      <c r="I130" s="360"/>
      <c r="J130" s="420" t="s">
        <v>537</v>
      </c>
      <c r="K130" s="657" t="str">
        <f>INDEX(Odds!H:H,MATCH(J130,Odds!G:G,0))</f>
        <v>8/11</v>
      </c>
      <c r="L130" s="658">
        <f>INDEX(Odds!I:I,MATCH(J130,Odds!G:G,0))</f>
        <v>1.7272727272727273</v>
      </c>
      <c r="M130" s="653">
        <f>INDEX(Odds!J:J,MATCH(J130,Odds!G:G,0))</f>
        <v>0</v>
      </c>
      <c r="N130" s="659">
        <f t="shared" si="12"/>
        <v>0</v>
      </c>
      <c r="O130" s="526"/>
      <c r="P130" s="58"/>
      <c r="R130" s="35" t="str">
        <f>IF(Odds!G130="","",Odds!G130)</f>
        <v>Walsall</v>
      </c>
      <c r="S130" s="36" t="str">
        <f>INDEX(Odds!H:H,MATCH(R130,Odds!G:G,0))</f>
        <v>6/4</v>
      </c>
      <c r="T130" s="40">
        <f t="shared" si="11"/>
        <v>0</v>
      </c>
      <c r="Y130" s="8">
        <f>INDEX(Odds!K:K,MATCH(J130,Odds!G:G,0))</f>
        <v>1</v>
      </c>
      <c r="AB130" s="529" t="str">
        <f>IF(O130="","",INDEX(Odds!H:H,MATCH(O130,Odds!G:G,0)))</f>
        <v/>
      </c>
      <c r="AC130" s="529" t="str">
        <f>IF(INDEX(Table!Q:Q,MATCH(A130,Table!F:F,0))="N","N","")</f>
        <v/>
      </c>
      <c r="AD130" s="58"/>
      <c r="AE130" s="58"/>
      <c r="AF130" s="417"/>
      <c r="AG130" s="58"/>
    </row>
    <row r="131" spans="1:33" ht="13.9" thickTop="1" thickBot="1">
      <c r="A131" s="629" t="str">
        <f>Results!B131</f>
        <v>Vinny Topping</v>
      </c>
      <c r="B131" s="630" t="str">
        <f t="shared" si="13"/>
        <v>Cardiff</v>
      </c>
      <c r="C131" s="631">
        <f>IF(J131="","",INDEX(Odds!C:C,MATCH(J131,Odds!G:G,0)))</f>
        <v>7</v>
      </c>
      <c r="D131" s="632">
        <f t="shared" si="14"/>
        <v>2.5</v>
      </c>
      <c r="E131" s="633" t="str">
        <f t="shared" si="15"/>
        <v>x</v>
      </c>
      <c r="F131" s="634">
        <f>IF(J131="",-10,INDEX(Results!T:T,MATCH(A131,Results!V:V,0)))</f>
        <v>-7</v>
      </c>
      <c r="G131" s="635">
        <f>IF(J131="","",INDEX(Results!AI:AI,MATCH(A131,Results!V:V,0)))</f>
        <v>41.875</v>
      </c>
      <c r="H131" s="360" t="str">
        <f>IF(INDEX(Table!Q:Q,MATCH(A131,Table!F:F,0))="N","N","Y")</f>
        <v>Y</v>
      </c>
      <c r="I131" s="359">
        <f>INDEX(Picks!AG:AG,MATCH(A131,Picks!AD:AD,0))</f>
        <v>36</v>
      </c>
      <c r="J131" s="419" t="s">
        <v>617</v>
      </c>
      <c r="K131" s="651" t="str">
        <f>INDEX(Odds!H:H,MATCH(J131,Odds!G:G,0))</f>
        <v>6/4</v>
      </c>
      <c r="L131" s="652">
        <f>INDEX(Odds!I:I,MATCH(J131,Odds!G:G,0))</f>
        <v>2.5</v>
      </c>
      <c r="M131" s="660">
        <f>INDEX(Odds!J:J,MATCH(J131,Odds!G:G,0))</f>
        <v>0</v>
      </c>
      <c r="N131" s="654">
        <f t="shared" si="12"/>
        <v>0</v>
      </c>
      <c r="O131" s="525"/>
      <c r="P131" s="58"/>
      <c r="R131" s="35" t="str">
        <f>IF(Odds!G131="","",Odds!G131)</f>
        <v>Notts Co</v>
      </c>
      <c r="S131" s="36" t="str">
        <f>INDEX(Odds!H:H,MATCH(R131,Odds!G:G,0))</f>
        <v>2/1</v>
      </c>
      <c r="T131" s="40">
        <f t="shared" si="11"/>
        <v>0</v>
      </c>
      <c r="Y131" s="8">
        <f>INDEX(Odds!K:K,MATCH(J131,Odds!G:G,0))</f>
        <v>1</v>
      </c>
      <c r="AB131" s="528" t="str">
        <f>IF(O131="","",INDEX(Odds!H:H,MATCH(O131,Odds!G:G,0)))</f>
        <v/>
      </c>
      <c r="AC131" s="528" t="str">
        <f>IF(INDEX(Table!Q:Q,MATCH(A131,Table!F:F,0))="N","N","")</f>
        <v/>
      </c>
      <c r="AD131" s="58"/>
      <c r="AE131" s="58"/>
      <c r="AF131" s="417"/>
      <c r="AG131" s="58"/>
    </row>
    <row r="132" spans="1:33">
      <c r="A132" s="636" t="str">
        <f>A131</f>
        <v>Vinny Topping</v>
      </c>
      <c r="B132" s="637" t="str">
        <f t="shared" si="13"/>
        <v>Doncaster</v>
      </c>
      <c r="C132" s="631">
        <f>IF(J132="","",INDEX(Odds!C:C,MATCH(J132,Odds!G:G,0)))</f>
        <v>7</v>
      </c>
      <c r="D132" s="638">
        <f t="shared" si="14"/>
        <v>2.75</v>
      </c>
      <c r="E132" s="639" t="str">
        <f t="shared" si="15"/>
        <v>x</v>
      </c>
      <c r="F132" s="640"/>
      <c r="G132" s="641"/>
      <c r="H132" s="360">
        <f>IF(G131="",0,1)</f>
        <v>1</v>
      </c>
      <c r="I132" s="360"/>
      <c r="J132" s="419" t="s">
        <v>398</v>
      </c>
      <c r="K132" s="655" t="str">
        <f>INDEX(Odds!H:H,MATCH(J132,Odds!G:G,0))</f>
        <v>7/4</v>
      </c>
      <c r="L132" s="656">
        <f>INDEX(Odds!I:I,MATCH(J132,Odds!G:G,0))</f>
        <v>2.75</v>
      </c>
      <c r="M132" s="653">
        <f>INDEX(Odds!J:J,MATCH(J132,Odds!G:G,0))</f>
        <v>0</v>
      </c>
      <c r="N132" s="654">
        <f t="shared" si="12"/>
        <v>0</v>
      </c>
      <c r="O132" s="525"/>
      <c r="P132" s="58"/>
      <c r="R132" s="35" t="str">
        <f>IF(Odds!G132="","",Odds!G132)</f>
        <v>Cambridge</v>
      </c>
      <c r="S132" s="36" t="str">
        <f>INDEX(Odds!H:H,MATCH(R132,Odds!G:G,0))</f>
        <v>11/5</v>
      </c>
      <c r="T132" s="40">
        <f t="shared" si="11"/>
        <v>0</v>
      </c>
      <c r="Y132" s="8">
        <f>INDEX(Odds!K:K,MATCH(J132,Odds!G:G,0))</f>
        <v>1</v>
      </c>
      <c r="AB132" s="528" t="str">
        <f>IF(O132="","",INDEX(Odds!H:H,MATCH(O132,Odds!G:G,0)))</f>
        <v/>
      </c>
      <c r="AC132" s="528" t="str">
        <f>IF(INDEX(Table!Q:Q,MATCH(A132,Table!F:F,0))="N","N","")</f>
        <v/>
      </c>
      <c r="AD132" s="58"/>
      <c r="AE132" s="58"/>
      <c r="AF132" s="417"/>
      <c r="AG132" s="58"/>
    </row>
    <row r="133" spans="1:33" ht="13.5" thickBot="1">
      <c r="A133" s="642" t="str">
        <f>A131</f>
        <v>Vinny Topping</v>
      </c>
      <c r="B133" s="643" t="str">
        <f t="shared" si="13"/>
        <v>Stevenage</v>
      </c>
      <c r="C133" s="644">
        <f>IF(J133="","",INDEX(Odds!C:C,MATCH(J133,Odds!G:G,0)))</f>
        <v>7</v>
      </c>
      <c r="D133" s="645">
        <f t="shared" si="14"/>
        <v>2.8</v>
      </c>
      <c r="E133" s="639" t="str">
        <f t="shared" si="15"/>
        <v>x</v>
      </c>
      <c r="F133" s="640"/>
      <c r="G133" s="641"/>
      <c r="H133" s="360"/>
      <c r="I133" s="360"/>
      <c r="J133" s="420" t="s">
        <v>613</v>
      </c>
      <c r="K133" s="657" t="str">
        <f>INDEX(Odds!H:H,MATCH(J133,Odds!G:G,0))</f>
        <v>9/5</v>
      </c>
      <c r="L133" s="658">
        <f>INDEX(Odds!I:I,MATCH(J133,Odds!G:G,0))</f>
        <v>2.8</v>
      </c>
      <c r="M133" s="653">
        <f>INDEX(Odds!J:J,MATCH(J133,Odds!G:G,0))</f>
        <v>0</v>
      </c>
      <c r="N133" s="659">
        <f t="shared" si="12"/>
        <v>0</v>
      </c>
      <c r="O133" s="526"/>
      <c r="P133" s="58"/>
      <c r="R133" s="35" t="str">
        <f>IF(Odds!G133="","",Odds!G133)</f>
        <v>Bromley</v>
      </c>
      <c r="S133" s="36" t="str">
        <f>INDEX(Odds!H:H,MATCH(R133,Odds!G:G,0))</f>
        <v>7/4</v>
      </c>
      <c r="T133" s="40">
        <f t="shared" si="11"/>
        <v>0</v>
      </c>
      <c r="Y133" s="8">
        <f>INDEX(Odds!K:K,MATCH(J133,Odds!G:G,0))</f>
        <v>1</v>
      </c>
      <c r="AB133" s="529" t="str">
        <f>IF(O133="","",INDEX(Odds!H:H,MATCH(O133,Odds!G:G,0)))</f>
        <v/>
      </c>
      <c r="AC133" s="529" t="str">
        <f>IF(INDEX(Table!Q:Q,MATCH(A133,Table!F:F,0))="N","N","")</f>
        <v/>
      </c>
      <c r="AD133" s="58"/>
      <c r="AE133" s="58"/>
      <c r="AF133" s="417"/>
      <c r="AG133" s="58"/>
    </row>
    <row r="134" spans="1:33" ht="13.9" thickTop="1" thickBot="1">
      <c r="A134" s="629" t="str">
        <f>Results!B134</f>
        <v>Dot Bow</v>
      </c>
      <c r="B134" s="630" t="str">
        <f t="shared" ref="B134:B136" si="16">IF(J134="","",J134)</f>
        <v>Leeds</v>
      </c>
      <c r="C134" s="631">
        <f>IF(J134="","",INDEX(Odds!C:C,MATCH(J134,Odds!G:G,0)))</f>
        <v>7</v>
      </c>
      <c r="D134" s="632">
        <f t="shared" ref="D134:D136" si="17">IF(J134="","",L134)</f>
        <v>3.9</v>
      </c>
      <c r="E134" s="633" t="str">
        <f t="shared" ref="E134:E136" si="18">IF(J134="","",IF(M134=1,"√","x"))</f>
        <v>x</v>
      </c>
      <c r="F134" s="634">
        <f>IF(J134="",-10,INDEX(Results!T:T,MATCH(A134,Results!V:V,0)))</f>
        <v>-5.5555555555555554</v>
      </c>
      <c r="G134" s="635">
        <f>IF(J134="","",INDEX(Results!AI:AI,MATCH(A134,Results!V:V,0)))</f>
        <v>37.515555555555551</v>
      </c>
      <c r="H134" s="360" t="str">
        <f>IF(INDEX(Table!Q:Q,MATCH(A134,Table!F:F,0))="N","N","Y")</f>
        <v>Y</v>
      </c>
      <c r="I134" s="359">
        <f>INDEX(Picks!AG:AG,MATCH(A134,Picks!AD:AD,0))</f>
        <v>33</v>
      </c>
      <c r="J134" s="419" t="s">
        <v>587</v>
      </c>
      <c r="K134" s="651" t="str">
        <f>INDEX(Odds!H:H,MATCH(J134,Odds!G:G,0))</f>
        <v>29/10</v>
      </c>
      <c r="L134" s="652">
        <f>INDEX(Odds!I:I,MATCH(J134,Odds!G:G,0))</f>
        <v>3.9</v>
      </c>
      <c r="M134" s="660">
        <f>INDEX(Odds!J:J,MATCH(J134,Odds!G:G,0))</f>
        <v>0</v>
      </c>
      <c r="N134" s="654">
        <f t="shared" ref="N134:N136" si="19">L134*M134</f>
        <v>0</v>
      </c>
      <c r="O134" s="525"/>
      <c r="P134" s="58"/>
      <c r="R134" s="35" t="str">
        <f>IF(Odds!G134="","",Odds!G134)</f>
        <v>Salford</v>
      </c>
      <c r="S134" s="36" t="str">
        <f>INDEX(Odds!H:H,MATCH(R134,Odds!G:G,0))</f>
        <v>6/4</v>
      </c>
      <c r="T134" s="40">
        <f t="shared" ref="T134:T136" si="20">IF(V42&lt;X42,1,0)</f>
        <v>1</v>
      </c>
      <c r="Y134" s="8">
        <f>INDEX(Odds!K:K,MATCH(J134,Odds!G:G,0))</f>
        <v>1</v>
      </c>
      <c r="AB134" s="528" t="str">
        <f>IF(O134="","",INDEX(Odds!H:H,MATCH(O134,Odds!G:G,0)))</f>
        <v/>
      </c>
      <c r="AC134" s="528" t="str">
        <f>IF(INDEX(Table!Q:Q,MATCH(A134,Table!F:F,0))="N","N","")</f>
        <v/>
      </c>
      <c r="AD134" s="58"/>
      <c r="AE134" s="58"/>
      <c r="AF134" s="417"/>
      <c r="AG134" s="58"/>
    </row>
    <row r="135" spans="1:33">
      <c r="A135" s="636" t="str">
        <f>A134</f>
        <v>Dot Bow</v>
      </c>
      <c r="B135" s="637" t="str">
        <f t="shared" si="16"/>
        <v>Newcastle</v>
      </c>
      <c r="C135" s="631">
        <f>IF(J135="","",INDEX(Odds!C:C,MATCH(J135,Odds!G:G,0)))</f>
        <v>7</v>
      </c>
      <c r="D135" s="638">
        <f t="shared" si="17"/>
        <v>1.4444444444444444</v>
      </c>
      <c r="E135" s="639" t="str">
        <f t="shared" si="18"/>
        <v>√</v>
      </c>
      <c r="F135" s="640"/>
      <c r="G135" s="641"/>
      <c r="H135" s="360">
        <f>IF(G134="",0,1)</f>
        <v>1</v>
      </c>
      <c r="I135" s="360"/>
      <c r="J135" s="419" t="s">
        <v>588</v>
      </c>
      <c r="K135" s="655" t="str">
        <f>INDEX(Odds!H:H,MATCH(J135,Odds!G:G,0))</f>
        <v>4/9</v>
      </c>
      <c r="L135" s="656">
        <f>INDEX(Odds!I:I,MATCH(J135,Odds!G:G,0))</f>
        <v>1.4444444444444444</v>
      </c>
      <c r="M135" s="653">
        <f>INDEX(Odds!J:J,MATCH(J135,Odds!G:G,0))</f>
        <v>1</v>
      </c>
      <c r="N135" s="654">
        <f t="shared" si="19"/>
        <v>1.4444444444444444</v>
      </c>
      <c r="O135" s="525"/>
      <c r="P135" s="58"/>
      <c r="R135" s="35" t="str">
        <f>IF(Odds!G135="","",Odds!G135)</f>
        <v>Harrogate</v>
      </c>
      <c r="S135" s="36" t="str">
        <f>INDEX(Odds!H:H,MATCH(R135,Odds!G:G,0))</f>
        <v>7/2</v>
      </c>
      <c r="T135" s="40">
        <f t="shared" si="20"/>
        <v>0</v>
      </c>
      <c r="Y135" s="8">
        <f>INDEX(Odds!K:K,MATCH(J135,Odds!G:G,0))</f>
        <v>1</v>
      </c>
      <c r="AB135" s="528" t="str">
        <f>IF(O135="","",INDEX(Odds!H:H,MATCH(O135,Odds!G:G,0)))</f>
        <v/>
      </c>
      <c r="AC135" s="528" t="str">
        <f>IF(INDEX(Table!Q:Q,MATCH(A135,Table!F:F,0))="N","N","")</f>
        <v/>
      </c>
      <c r="AD135" s="58"/>
      <c r="AE135" s="58"/>
      <c r="AF135" s="417"/>
      <c r="AG135" s="58"/>
    </row>
    <row r="136" spans="1:33" ht="13.5" thickBot="1">
      <c r="A136" s="642" t="str">
        <f>A134</f>
        <v>Dot Bow</v>
      </c>
      <c r="B136" s="643" t="str">
        <f t="shared" si="16"/>
        <v>Huddersfield</v>
      </c>
      <c r="C136" s="644">
        <f>IF(J136="","",INDEX(Odds!C:C,MATCH(J136,Odds!G:G,0)))</f>
        <v>7</v>
      </c>
      <c r="D136" s="645">
        <f t="shared" si="17"/>
        <v>2.8</v>
      </c>
      <c r="E136" s="646" t="str">
        <f t="shared" si="18"/>
        <v>x</v>
      </c>
      <c r="F136" s="647"/>
      <c r="G136" s="648"/>
      <c r="H136" s="360"/>
      <c r="I136" s="360"/>
      <c r="J136" s="420" t="s">
        <v>553</v>
      </c>
      <c r="K136" s="657" t="str">
        <f>INDEX(Odds!H:H,MATCH(J136,Odds!G:G,0))</f>
        <v>9/5</v>
      </c>
      <c r="L136" s="658">
        <f>INDEX(Odds!I:I,MATCH(J136,Odds!G:G,0))</f>
        <v>2.8</v>
      </c>
      <c r="M136" s="653">
        <f>INDEX(Odds!J:J,MATCH(J136,Odds!G:G,0))</f>
        <v>0</v>
      </c>
      <c r="N136" s="659">
        <f t="shared" si="19"/>
        <v>0</v>
      </c>
      <c r="O136" s="526"/>
      <c r="P136" s="58"/>
      <c r="R136" s="35" t="str">
        <f>IF(Odds!G136="","",Odds!G136)</f>
        <v>Newport</v>
      </c>
      <c r="S136" s="36" t="str">
        <f>INDEX(Odds!H:H,MATCH(R136,Odds!G:G,0))</f>
        <v>4/1</v>
      </c>
      <c r="T136" s="40">
        <f t="shared" si="20"/>
        <v>0</v>
      </c>
      <c r="Y136" s="8">
        <f>INDEX(Odds!K:K,MATCH(J136,Odds!G:G,0))</f>
        <v>1</v>
      </c>
      <c r="AB136" s="529" t="str">
        <f>IF(O136="","",INDEX(Odds!H:H,MATCH(O136,Odds!G:G,0)))</f>
        <v/>
      </c>
      <c r="AC136" s="529" t="str">
        <f>IF(INDEX(Table!Q:Q,MATCH(A136,Table!F:F,0))="N","N","")</f>
        <v/>
      </c>
      <c r="AD136" s="58"/>
      <c r="AE136" s="58"/>
      <c r="AF136" s="417"/>
      <c r="AG136" s="58"/>
    </row>
    <row r="137" spans="1:33" ht="13.9" thickTop="1" thickBot="1">
      <c r="A137" s="629" t="str">
        <f>Results!B137</f>
        <v>Katy Savory</v>
      </c>
      <c r="B137" s="630" t="str">
        <f t="shared" ref="B137:B139" si="21">IF(J137="","",J137)</f>
        <v>Man C</v>
      </c>
      <c r="C137" s="631">
        <f>IF(J137="","",INDEX(Odds!C:C,MATCH(J137,Odds!G:G,0)))</f>
        <v>1</v>
      </c>
      <c r="D137" s="632">
        <f t="shared" ref="D137:D139" si="22">IF(J137="","",L137)</f>
        <v>1.6666666666666665</v>
      </c>
      <c r="E137" s="633" t="str">
        <f t="shared" ref="E137:E139" si="23">IF(J137="","",IF(M137=1,"√","x"))</f>
        <v>√</v>
      </c>
      <c r="F137" s="634">
        <f>IF(J137="",-10,INDEX(Results!T:T,MATCH(A137,Results!V:V,0)))</f>
        <v>-1.8666666666666671</v>
      </c>
      <c r="G137" s="635">
        <f>IF(J137="","",INDEX(Results!AI:AI,MATCH(A137,Results!V:V,0)))</f>
        <v>7.3333333333333321</v>
      </c>
      <c r="H137" s="360" t="str">
        <f>IF(INDEX(Table!Q:Q,MATCH(A137,Table!F:F,0))="N","N","Y")</f>
        <v>Y</v>
      </c>
      <c r="I137" s="359">
        <f>INDEX(Picks!AG:AG,MATCH(A137,Picks!AD:AD,0))</f>
        <v>22</v>
      </c>
      <c r="J137" s="419" t="s">
        <v>633</v>
      </c>
      <c r="K137" s="651" t="str">
        <f>INDEX(Odds!H:H,MATCH(J137,Odds!G:G,0))</f>
        <v>4/6</v>
      </c>
      <c r="L137" s="652">
        <f>INDEX(Odds!I:I,MATCH(J137,Odds!G:G,0))</f>
        <v>1.6666666666666665</v>
      </c>
      <c r="M137" s="660">
        <f>INDEX(Odds!J:J,MATCH(J137,Odds!G:G,0))</f>
        <v>1</v>
      </c>
      <c r="N137" s="654">
        <f t="shared" ref="N137:N139" si="24">L137*M137</f>
        <v>1.6666666666666665</v>
      </c>
      <c r="O137" s="525"/>
      <c r="R137" s="35" t="str">
        <f>IF(Odds!G137="","",Odds!G137)</f>
        <v>Liverpool</v>
      </c>
      <c r="S137" s="36" t="str">
        <f>INDEX(Odds!H:H,MATCH(R137,Odds!G:G,0))</f>
        <v>3/10</v>
      </c>
      <c r="T137" s="40">
        <f t="shared" ref="T137:T138" si="25">IF(V45&lt;X45,1,0)</f>
        <v>1</v>
      </c>
      <c r="Y137" s="8">
        <f>INDEX(Odds!K:K,MATCH(J137,Odds!G:G,0))</f>
        <v>1</v>
      </c>
      <c r="AB137" s="18" t="str">
        <f>IF(O137="","",INDEX(Odds!H:H,MATCH(O137,Odds!G:G,0)))</f>
        <v/>
      </c>
      <c r="AC137" s="18"/>
      <c r="AD137" s="58"/>
      <c r="AE137" s="58"/>
      <c r="AF137" s="417"/>
      <c r="AG137" s="58"/>
    </row>
    <row r="138" spans="1:33">
      <c r="A138" s="636" t="str">
        <f>A137</f>
        <v>Katy Savory</v>
      </c>
      <c r="B138" s="637" t="str">
        <f t="shared" si="21"/>
        <v>Liverpool</v>
      </c>
      <c r="C138" s="631">
        <f>IF(J138="","",INDEX(Odds!C:C,MATCH(J138,Odds!G:G,0)))</f>
        <v>1</v>
      </c>
      <c r="D138" s="638">
        <f t="shared" si="22"/>
        <v>1.3</v>
      </c>
      <c r="E138" s="639" t="str">
        <f t="shared" si="23"/>
        <v>√</v>
      </c>
      <c r="F138" s="640"/>
      <c r="G138" s="641"/>
      <c r="H138" s="360">
        <f>IF(G137="",0,1)</f>
        <v>1</v>
      </c>
      <c r="J138" s="419" t="s">
        <v>632</v>
      </c>
      <c r="K138" s="655" t="str">
        <f>INDEX(Odds!H:H,MATCH(J138,Odds!G:G,0))</f>
        <v>3/10</v>
      </c>
      <c r="L138" s="656">
        <f>INDEX(Odds!I:I,MATCH(J138,Odds!G:G,0))</f>
        <v>1.3</v>
      </c>
      <c r="M138" s="653">
        <f>INDEX(Odds!J:J,MATCH(J138,Odds!G:G,0))</f>
        <v>1</v>
      </c>
      <c r="N138" s="654">
        <f t="shared" si="24"/>
        <v>1.3</v>
      </c>
      <c r="O138" s="525"/>
      <c r="R138" s="35" t="str">
        <f>IF(Odds!G138="","",Odds!G138)</f>
        <v>Man U</v>
      </c>
      <c r="S138" s="36" t="str">
        <f>INDEX(Odds!H:H,MATCH(R138,Odds!G:G,0))</f>
        <v>18/5</v>
      </c>
      <c r="T138" s="40">
        <f t="shared" si="25"/>
        <v>0</v>
      </c>
      <c r="Y138" s="8">
        <f>INDEX(Odds!K:K,MATCH(J138,Odds!G:G,0))</f>
        <v>1</v>
      </c>
      <c r="AB138" s="18" t="str">
        <f>IF(O138="","",INDEX(Odds!H:H,MATCH(O138,Odds!G:G,0)))</f>
        <v/>
      </c>
      <c r="AC138" s="18"/>
      <c r="AD138" s="58"/>
      <c r="AE138" s="58"/>
      <c r="AF138" s="417"/>
      <c r="AG138" s="58"/>
    </row>
    <row r="139" spans="1:33" ht="13.5" thickBot="1">
      <c r="A139" s="642" t="str">
        <f>A137</f>
        <v>Katy Savory</v>
      </c>
      <c r="B139" s="643" t="str">
        <f t="shared" si="21"/>
        <v>Luton</v>
      </c>
      <c r="C139" s="644">
        <f>IF(J139="","",INDEX(Odds!C:C,MATCH(J139,Odds!G:G,0)))</f>
        <v>7</v>
      </c>
      <c r="D139" s="645">
        <f t="shared" si="22"/>
        <v>1.5</v>
      </c>
      <c r="E139" s="646" t="str">
        <f t="shared" si="23"/>
        <v>x</v>
      </c>
      <c r="F139" s="647"/>
      <c r="G139" s="648"/>
      <c r="H139" s="676"/>
      <c r="J139" s="420" t="s">
        <v>612</v>
      </c>
      <c r="K139" s="657" t="str">
        <f>INDEX(Odds!H:H,MATCH(J139,Odds!G:G,0))</f>
        <v>1/2</v>
      </c>
      <c r="L139" s="658">
        <f>INDEX(Odds!I:I,MATCH(J139,Odds!G:G,0))</f>
        <v>1.5</v>
      </c>
      <c r="M139" s="653">
        <f>INDEX(Odds!J:J,MATCH(J139,Odds!G:G,0))</f>
        <v>0</v>
      </c>
      <c r="N139" s="659">
        <f t="shared" si="24"/>
        <v>0</v>
      </c>
      <c r="O139" s="526"/>
      <c r="R139" s="35" t="str">
        <f>IF(Odds!G139="","",Odds!G139)</f>
        <v>Portsmouth</v>
      </c>
      <c r="S139" s="36" t="str">
        <f>INDEX(Odds!H:H,MATCH(R139,Odds!G:G,0))</f>
        <v>18/5</v>
      </c>
      <c r="T139" s="40">
        <f t="shared" ref="T139" si="26">IF(V47&lt;X47,1,0)</f>
        <v>0</v>
      </c>
      <c r="Y139" s="8">
        <f>INDEX(Odds!K:K,MATCH(J139,Odds!G:G,0))</f>
        <v>1</v>
      </c>
      <c r="AB139" s="18" t="str">
        <f>IF(O139="","",INDEX(Odds!H:H,MATCH(O139,Odds!G:G,0)))</f>
        <v/>
      </c>
      <c r="AC139" s="18"/>
      <c r="AD139" s="58"/>
      <c r="AE139" s="58"/>
      <c r="AF139" s="417"/>
      <c r="AG139" s="58"/>
    </row>
    <row r="140" spans="1:33" ht="13.5" thickTop="1">
      <c r="H140" s="676"/>
      <c r="Y140" s="8" t="e">
        <f>INDEX(Odds!K:K,MATCH(J140,Odds!G:G,0))</f>
        <v>#N/A</v>
      </c>
      <c r="AB140" s="18" t="str">
        <f>IF(O140="","",INDEX(Odds!H:H,MATCH(O140,Odds!G:G,0)))</f>
        <v/>
      </c>
      <c r="AC140" s="18"/>
      <c r="AD140" s="58"/>
      <c r="AE140" s="58"/>
      <c r="AF140" s="417"/>
      <c r="AG140" s="58"/>
    </row>
    <row r="141" spans="1:33">
      <c r="H141" s="676"/>
      <c r="Y141" s="8" t="e">
        <f>INDEX(Odds!K:K,MATCH(J141,Odds!G:G,0))</f>
        <v>#N/A</v>
      </c>
      <c r="AB141" s="18" t="str">
        <f>IF(O141="","",INDEX(Odds!H:H,MATCH(O141,Odds!G:G,0)))</f>
        <v/>
      </c>
      <c r="AC141" s="18"/>
      <c r="AD141" s="58"/>
      <c r="AE141" s="58"/>
      <c r="AF141" s="417"/>
      <c r="AG141" s="58"/>
    </row>
    <row r="142" spans="1:33">
      <c r="H142" s="676"/>
      <c r="Y142" s="8" t="e">
        <f>INDEX(Odds!K:K,MATCH(J142,Odds!G:G,0))</f>
        <v>#N/A</v>
      </c>
      <c r="AB142" s="18" t="str">
        <f>IF(O142="","",INDEX(Odds!H:H,MATCH(O142,Odds!G:G,0)))</f>
        <v/>
      </c>
      <c r="AC142" s="18"/>
      <c r="AD142" s="58"/>
      <c r="AE142" s="58"/>
      <c r="AF142" s="417"/>
      <c r="AG142" s="58"/>
    </row>
    <row r="143" spans="1:33">
      <c r="H143" s="676"/>
      <c r="Y143" s="8" t="e">
        <f>INDEX(Odds!K:K,MATCH(J143,Odds!G:G,0))</f>
        <v>#N/A</v>
      </c>
      <c r="AB143" s="18" t="str">
        <f>IF(O143="","",INDEX(Odds!H:H,MATCH(O143,Odds!G:G,0)))</f>
        <v/>
      </c>
      <c r="AC143" s="18"/>
      <c r="AD143" s="58"/>
      <c r="AE143" s="58"/>
      <c r="AF143" s="417"/>
      <c r="AG143" s="58"/>
    </row>
    <row r="144" spans="1:33">
      <c r="H144" s="676"/>
      <c r="Y144" s="8" t="e">
        <f>INDEX(Odds!K:K,MATCH(J144,Odds!G:G,0))</f>
        <v>#N/A</v>
      </c>
      <c r="AB144" s="18" t="str">
        <f>IF(O144="","",INDEX(Odds!H:H,MATCH(O144,Odds!G:G,0)))</f>
        <v/>
      </c>
      <c r="AC144" s="18"/>
      <c r="AD144" s="58"/>
      <c r="AE144" s="58"/>
      <c r="AF144" s="417"/>
      <c r="AG144" s="58"/>
    </row>
    <row r="145" spans="8:33">
      <c r="H145" s="676"/>
      <c r="Y145" s="8" t="e">
        <f>INDEX(Odds!K:K,MATCH(J145,Odds!G:G,0))</f>
        <v>#N/A</v>
      </c>
      <c r="AB145" s="18" t="str">
        <f>IF(O145="","",INDEX(Odds!H:H,MATCH(O145,Odds!G:G,0)))</f>
        <v/>
      </c>
      <c r="AC145" s="18"/>
      <c r="AD145" s="58"/>
      <c r="AE145" s="58"/>
      <c r="AF145" s="417"/>
      <c r="AG145" s="58"/>
    </row>
    <row r="146" spans="8:33">
      <c r="H146" s="676"/>
      <c r="Y146" s="8" t="e">
        <f>INDEX(Odds!K:K,MATCH(J146,Odds!G:G,0))</f>
        <v>#N/A</v>
      </c>
      <c r="AB146" s="18" t="str">
        <f>IF(O146="","",INDEX(Odds!H:H,MATCH(O146,Odds!G:G,0)))</f>
        <v/>
      </c>
      <c r="AC146" s="18"/>
      <c r="AD146" s="58"/>
      <c r="AE146" s="58"/>
      <c r="AF146" s="417"/>
      <c r="AG146" s="58"/>
    </row>
    <row r="147" spans="8:33">
      <c r="H147" s="676"/>
      <c r="Y147" s="8" t="e">
        <f>INDEX(Odds!K:K,MATCH(J147,Odds!G:G,0))</f>
        <v>#N/A</v>
      </c>
      <c r="AB147" s="18" t="str">
        <f>IF(O147="","",INDEX(Odds!H:H,MATCH(O147,Odds!G:G,0)))</f>
        <v/>
      </c>
      <c r="AC147" s="18"/>
      <c r="AD147" s="58"/>
      <c r="AE147" s="58"/>
      <c r="AF147" s="417"/>
      <c r="AG147" s="58"/>
    </row>
    <row r="148" spans="8:33">
      <c r="H148" s="676"/>
      <c r="Y148" s="8" t="e">
        <f>INDEX(Odds!K:K,MATCH(J148,Odds!G:G,0))</f>
        <v>#N/A</v>
      </c>
      <c r="AB148" s="18" t="str">
        <f>IF(O148="","",INDEX(Odds!H:H,MATCH(O148,Odds!G:G,0)))</f>
        <v/>
      </c>
      <c r="AC148" s="18"/>
      <c r="AD148" s="58"/>
      <c r="AE148" s="58"/>
      <c r="AF148" s="417"/>
      <c r="AG148" s="58"/>
    </row>
    <row r="149" spans="8:33">
      <c r="H149" s="676"/>
      <c r="Y149" s="8" t="e">
        <f>INDEX(Odds!K:K,MATCH(J149,Odds!G:G,0))</f>
        <v>#N/A</v>
      </c>
      <c r="AB149" s="18" t="str">
        <f>IF(O149="","",INDEX(Odds!H:H,MATCH(O149,Odds!G:G,0)))</f>
        <v/>
      </c>
      <c r="AC149" s="18"/>
      <c r="AD149" s="58"/>
      <c r="AE149" s="58"/>
      <c r="AF149" s="417"/>
      <c r="AG149" s="58"/>
    </row>
    <row r="150" spans="8:33">
      <c r="H150" s="676"/>
      <c r="Y150" s="8" t="e">
        <f>INDEX(Odds!K:K,MATCH(J150,Odds!G:G,0))</f>
        <v>#N/A</v>
      </c>
      <c r="AB150" s="18" t="str">
        <f>IF(O150="","",INDEX(Odds!H:H,MATCH(O150,Odds!G:G,0)))</f>
        <v/>
      </c>
      <c r="AC150" s="18"/>
      <c r="AD150" s="58"/>
      <c r="AE150" s="58"/>
      <c r="AF150" s="417"/>
      <c r="AG150" s="58"/>
    </row>
    <row r="151" spans="8:33">
      <c r="H151" s="676"/>
      <c r="Y151" s="8" t="e">
        <f>INDEX(Odds!K:K,MATCH(J151,Odds!G:G,0))</f>
        <v>#N/A</v>
      </c>
      <c r="AB151" s="18" t="str">
        <f>IF(O151="","",INDEX(Odds!H:H,MATCH(O151,Odds!G:G,0)))</f>
        <v/>
      </c>
      <c r="AC151" s="18"/>
      <c r="AD151" s="58"/>
      <c r="AE151" s="58"/>
      <c r="AF151" s="417"/>
      <c r="AG151" s="58"/>
    </row>
    <row r="152" spans="8:33">
      <c r="H152" s="676"/>
      <c r="Y152" s="8" t="e">
        <f>INDEX(Odds!K:K,MATCH(J152,Odds!G:G,0))</f>
        <v>#N/A</v>
      </c>
      <c r="AB152" s="18" t="str">
        <f>IF(O152="","",INDEX(Odds!H:H,MATCH(O152,Odds!G:G,0)))</f>
        <v/>
      </c>
      <c r="AC152" s="18"/>
      <c r="AD152" s="58"/>
      <c r="AE152" s="58"/>
      <c r="AF152" s="417"/>
      <c r="AG152" s="58"/>
    </row>
    <row r="153" spans="8:33" ht="14.25" customHeight="1">
      <c r="H153" s="676"/>
      <c r="Y153" s="8" t="e">
        <f>INDEX(Odds!K:K,MATCH(J153,Odds!G:G,0))</f>
        <v>#N/A</v>
      </c>
      <c r="AB153" s="18" t="str">
        <f>IF(O153="","",INDEX(Odds!H:H,MATCH(O153,Odds!G:G,0)))</f>
        <v/>
      </c>
      <c r="AC153" s="18"/>
      <c r="AD153" s="58"/>
      <c r="AE153" s="58"/>
      <c r="AF153" s="417"/>
      <c r="AG153" s="58"/>
    </row>
    <row r="154" spans="8:33">
      <c r="H154" s="676"/>
      <c r="Y154" s="8" t="e">
        <f>INDEX(Odds!K:K,MATCH(J154,Odds!G:G,0))</f>
        <v>#N/A</v>
      </c>
      <c r="AB154" s="18" t="str">
        <f>IF(O154="","",INDEX(Odds!H:H,MATCH(O154,Odds!G:G,0)))</f>
        <v/>
      </c>
      <c r="AC154" s="18"/>
      <c r="AD154" s="58"/>
      <c r="AE154" s="58"/>
      <c r="AF154" s="417"/>
      <c r="AG154" s="58"/>
    </row>
    <row r="155" spans="8:33">
      <c r="H155" s="676"/>
      <c r="Y155" s="8" t="e">
        <f>INDEX(Odds!K:K,MATCH(J155,Odds!G:G,0))</f>
        <v>#N/A</v>
      </c>
      <c r="AB155" s="18" t="str">
        <f>IF(O155="","",INDEX(Odds!H:H,MATCH(O155,Odds!G:G,0)))</f>
        <v/>
      </c>
      <c r="AC155" s="18"/>
      <c r="AD155" s="58"/>
      <c r="AE155" s="58"/>
      <c r="AF155" s="417"/>
      <c r="AG155" s="58"/>
    </row>
    <row r="156" spans="8:33">
      <c r="H156" s="676"/>
      <c r="Y156" s="8" t="e">
        <f>INDEX(Odds!K:K,MATCH(J156,Odds!G:G,0))</f>
        <v>#N/A</v>
      </c>
      <c r="AB156" s="18" t="str">
        <f>IF(O156="","",INDEX(Odds!H:H,MATCH(O156,Odds!G:G,0)))</f>
        <v/>
      </c>
      <c r="AC156" s="18"/>
    </row>
    <row r="157" spans="8:33">
      <c r="H157" s="676"/>
      <c r="Y157" s="8" t="e">
        <f>INDEX(Odds!K:K,MATCH(J157,Odds!G:G,0))</f>
        <v>#N/A</v>
      </c>
      <c r="AB157" s="18" t="str">
        <f>IF(O157="","",INDEX(Odds!H:H,MATCH(O157,Odds!G:G,0)))</f>
        <v/>
      </c>
      <c r="AC157" s="18"/>
    </row>
    <row r="158" spans="8:33">
      <c r="H158" s="676"/>
      <c r="Y158" s="8" t="e">
        <f>INDEX(Odds!K:K,MATCH(J158,Odds!G:G,0))</f>
        <v>#N/A</v>
      </c>
      <c r="AB158" s="18" t="str">
        <f>IF(O158="","",INDEX(Odds!H:H,MATCH(O158,Odds!G:G,0)))</f>
        <v/>
      </c>
      <c r="AC158" s="18"/>
    </row>
    <row r="159" spans="8:33">
      <c r="H159" s="676"/>
      <c r="Y159" s="8" t="e">
        <f>INDEX(Odds!K:K,MATCH(J159,Odds!G:G,0))</f>
        <v>#N/A</v>
      </c>
      <c r="AB159" s="18" t="str">
        <f>IF(O159="","",INDEX(Odds!H:H,MATCH(O159,Odds!G:G,0)))</f>
        <v/>
      </c>
      <c r="AC159" s="18"/>
    </row>
    <row r="160" spans="8:33">
      <c r="H160" s="676"/>
      <c r="Y160" s="8" t="e">
        <f>INDEX(Odds!K:K,MATCH(J160,Odds!G:G,0))</f>
        <v>#N/A</v>
      </c>
      <c r="AB160" s="18" t="str">
        <f>IF(O160="","",INDEX(Odds!H:H,MATCH(O160,Odds!G:G,0)))</f>
        <v/>
      </c>
      <c r="AC160" s="1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row>
    <row r="231" spans="25:29">
      <c r="Y231" s="8" t="e">
        <f>INDEX(Odds!K:K,MATCH(J231,Odds!G:G,0))</f>
        <v>#N/A</v>
      </c>
    </row>
    <row r="232" spans="25:29">
      <c r="Y232" s="8" t="e">
        <f>INDEX(Odds!K:K,MATCH(J232,Odds!G:G,0))</f>
        <v>#N/A</v>
      </c>
    </row>
    <row r="233" spans="25:29">
      <c r="Y233" s="8" t="e">
        <f>INDEX(Odds!K:K,MATCH(J233,Odds!G:G,0))</f>
        <v>#N/A</v>
      </c>
    </row>
    <row r="234" spans="25:29">
      <c r="Y234" s="8" t="e">
        <f>INDEX(Odds!K:K,MATCH(J234,Odds!G:G,0))</f>
        <v>#N/A</v>
      </c>
    </row>
    <row r="235" spans="25:29">
      <c r="Y235" s="8" t="e">
        <f>INDEX(Odds!K:K,MATCH(J235,Odds!G:G,0))</f>
        <v>#N/A</v>
      </c>
    </row>
    <row r="236" spans="25:29">
      <c r="Y236" s="8" t="e">
        <f>INDEX(Odds!K:K,MATCH(J236,Odds!G:G,0))</f>
        <v>#N/A</v>
      </c>
    </row>
    <row r="237" spans="25:29">
      <c r="Y237" s="8" t="e">
        <f>INDEX(Odds!K:K,MATCH(J237,Odds!G:G,0))</f>
        <v>#N/A</v>
      </c>
    </row>
    <row r="238" spans="25:29" ht="144.75" customHeight="1">
      <c r="Y238" s="8" t="e">
        <f>INDEX(Odds!K:K,MATCH(J238,Odds!G:G,0))</f>
        <v>#N/A</v>
      </c>
    </row>
    <row r="239" spans="25:29">
      <c r="Y239" s="8" t="e">
        <f>INDEX(Odds!K:K,MATCH(J239,Odds!G:G,0))</f>
        <v>#N/A</v>
      </c>
    </row>
    <row r="240" spans="25:29">
      <c r="Y240" s="8" t="e">
        <f>INDEX(Odds!K:K,MATCH(J240,Odds!G:G,0))</f>
        <v>#N/A</v>
      </c>
    </row>
    <row r="241" spans="25:25">
      <c r="Y241" s="8" t="e">
        <f>INDEX(Odds!K:K,MATCH(J241,Odds!G:G,0))</f>
        <v>#N/A</v>
      </c>
    </row>
    <row r="242" spans="25:25">
      <c r="Y242" s="8" t="e">
        <f>INDEX(Odds!K:K,MATCH(J242,Odds!G:G,0))</f>
        <v>#N/A</v>
      </c>
    </row>
    <row r="243" spans="25:25">
      <c r="Y243" s="8" t="e">
        <f>INDEX(Odds!K:K,MATCH(J243,Odds!G:G,0))</f>
        <v>#N/A</v>
      </c>
    </row>
    <row r="244" spans="25:25">
      <c r="Y244" s="8" t="e">
        <f>INDEX(Odds!K:K,MATCH(J244,Odds!G:G,0))</f>
        <v>#N/A</v>
      </c>
    </row>
    <row r="245" spans="25:25">
      <c r="Y245" s="8" t="e">
        <f>INDEX(Odds!K:K,MATCH(J245,Odds!G:G,0))</f>
        <v>#N/A</v>
      </c>
    </row>
    <row r="246" spans="25:25">
      <c r="Y246" s="8" t="e">
        <f>INDEX(Odds!K:K,MATCH(J246,Odds!G:G,0))</f>
        <v>#N/A</v>
      </c>
    </row>
    <row r="247" spans="25:25">
      <c r="Y247" s="8" t="e">
        <f>INDEX(Odds!K:K,MATCH(J247,Odds!G:G,0))</f>
        <v>#N/A</v>
      </c>
    </row>
    <row r="248" spans="25:25">
      <c r="Y248" s="8" t="e">
        <f>INDEX(Odds!K:K,MATCH(J248,Odds!G:G,0))</f>
        <v>#N/A</v>
      </c>
    </row>
    <row r="249" spans="25:25">
      <c r="Y249" s="8" t="e">
        <f>INDEX(Odds!K:K,MATCH(J249,Odds!G:G,0))</f>
        <v>#N/A</v>
      </c>
    </row>
    <row r="250" spans="25:25">
      <c r="Y250" s="8" t="e">
        <f>INDEX(Odds!K:K,MATCH(J250,Odds!G:G,0))</f>
        <v>#N/A</v>
      </c>
    </row>
    <row r="251" spans="25:25">
      <c r="Y251" s="8" t="e">
        <f>INDEX(Odds!K:K,MATCH(J251,Odds!G:G,0))</f>
        <v>#N/A</v>
      </c>
    </row>
    <row r="252" spans="25:25">
      <c r="Y252" s="8" t="e">
        <f>INDEX(Odds!K:K,MATCH(J252,Odds!G:G,0))</f>
        <v>#N/A</v>
      </c>
    </row>
    <row r="253" spans="25:25">
      <c r="Y253" s="8" t="e">
        <f>INDEX(Odds!K:K,MATCH(J253,Odds!G:G,0))</f>
        <v>#N/A</v>
      </c>
    </row>
    <row r="254" spans="25:25">
      <c r="Y254" s="8" t="e">
        <f>INDEX(Odds!K:K,MATCH(J254,Odds!G:G,0))</f>
        <v>#N/A</v>
      </c>
    </row>
    <row r="255" spans="25:25">
      <c r="Y255" s="8" t="e">
        <f>INDEX(Odds!K:K,MATCH(J255,Odds!G:G,0))</f>
        <v>#N/A</v>
      </c>
    </row>
    <row r="256" spans="25:25">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 priority="30">
      <formula>Y2=0</formula>
    </cfRule>
  </conditionalFormatting>
  <conditionalFormatting sqref="B3:B4">
    <cfRule type="expression" dxfId="10" priority="29">
      <formula>Y3=0</formula>
    </cfRule>
  </conditionalFormatting>
  <conditionalFormatting sqref="H2:H138">
    <cfRule type="cellIs" dxfId="9" priority="10" operator="equal">
      <formula>"N"</formula>
    </cfRule>
  </conditionalFormatting>
  <conditionalFormatting sqref="B5 B8 B11 B14 B17 B20 B23 B26 B29 B32 B35 B38 B41 B44 B47 B50 B53 B56 B59 B62 B65 B68 B71 B74 B77 B80 B83 B86 B89 B92 B95 B98 B101 B104 B107 B110 B113 B116 B119 B122 B125 B128 B131">
    <cfRule type="expression" dxfId="8" priority="9">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cfRule type="expression" dxfId="7" priority="8">
      <formula>Y6=0</formula>
    </cfRule>
  </conditionalFormatting>
  <conditionalFormatting sqref="C2:C180">
    <cfRule type="cellIs" dxfId="6" priority="5" operator="notEqual">
      <formula>7</formula>
    </cfRule>
  </conditionalFormatting>
  <conditionalFormatting sqref="B134">
    <cfRule type="expression" dxfId="5" priority="4">
      <formula>Y134=0</formula>
    </cfRule>
  </conditionalFormatting>
  <conditionalFormatting sqref="B135:B136">
    <cfRule type="expression" dxfId="4" priority="3">
      <formula>Y135=0</formula>
    </cfRule>
  </conditionalFormatting>
  <conditionalFormatting sqref="B137">
    <cfRule type="expression" dxfId="3" priority="2">
      <formula>Y137=0</formula>
    </cfRule>
  </conditionalFormatting>
  <conditionalFormatting sqref="B138:B139">
    <cfRule type="expression" dxfId="2" priority="1">
      <formula>Y138=0</formula>
    </cfRule>
  </conditionalFormatting>
  <dataValidations count="1">
    <dataValidation type="list" allowBlank="1" showInputMessage="1" showErrorMessage="1" sqref="J2:J139 O2:O139"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3" fitToHeight="5" orientation="portrait" horizontalDpi="360" verticalDpi="360" r:id="rId1"/>
  <headerFooter alignWithMargins="0"/>
  <rowBreaks count="3" manualBreakCount="3">
    <brk id="1" max="16383" man="1"/>
    <brk id="49" max="16383" man="1"/>
    <brk id="9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15" zoomScaleNormal="100" workbookViewId="0">
      <selection activeCell="H48" sqref="H48"/>
    </sheetView>
  </sheetViews>
  <sheetFormatPr defaultRowHeight="12.75"/>
  <cols>
    <col min="1" max="1" width="7.3984375" style="545"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44" t="s">
        <v>470</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473</v>
      </c>
      <c r="P1" s="546" t="s">
        <v>472</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45">
        <v>1</v>
      </c>
      <c r="B2" s="25">
        <v>45912</v>
      </c>
      <c r="C2" s="160">
        <v>11</v>
      </c>
      <c r="D2" s="25" t="s">
        <v>576</v>
      </c>
      <c r="E2" s="25" t="s">
        <v>577</v>
      </c>
      <c r="F2" s="25" t="s">
        <v>408</v>
      </c>
      <c r="G2" s="160">
        <v>5</v>
      </c>
      <c r="H2" s="160">
        <v>0</v>
      </c>
      <c r="I2" s="160">
        <v>17</v>
      </c>
      <c r="J2" s="160">
        <v>20</v>
      </c>
      <c r="K2" s="160">
        <v>5</v>
      </c>
      <c r="L2" s="160">
        <v>2</v>
      </c>
      <c r="M2" s="160">
        <v>3</v>
      </c>
      <c r="N2" s="160">
        <v>1</v>
      </c>
      <c r="O2" s="543" t="b">
        <v>0</v>
      </c>
      <c r="P2" s="547" t="str">
        <f>IF(B2="","",IF(O2=FALSE,"","OFF"))</f>
        <v/>
      </c>
      <c r="Q2" s="32" t="str">
        <f t="shared" ref="Q2:Q32" si="0">TRIM(E2)</f>
        <v>Ipswich</v>
      </c>
      <c r="R2" s="32" t="str">
        <f t="shared" ref="R2:R32" si="1">TRIM(F2)</f>
        <v>Sheff U</v>
      </c>
      <c r="S2" s="31" t="str">
        <f t="shared" ref="S2:S32" si="2">TRIM(G2)</f>
        <v>5</v>
      </c>
      <c r="T2" s="32" t="str">
        <f t="shared" ref="T2:T32" si="3">TRIM(H2)</f>
        <v>0</v>
      </c>
      <c r="U2" s="27" t="str">
        <f>IF(B2="","",IF(O2=TRUE,Q2&amp;"  v  "&amp;R2&amp;"  OFF",Q2&amp;"  v  "&amp;R2&amp;"   "&amp;W2))</f>
        <v>Ipswich  v  Sheff U   17/20  5/2  3/1</v>
      </c>
      <c r="V2" s="30" t="str">
        <f>Q2&amp;" "&amp;S2&amp;"-"&amp;T2&amp;" "&amp;R2&amp;" "&amp;P2</f>
        <v xml:space="preserve">Ipswich 5-0 Sheff U </v>
      </c>
      <c r="W2" t="str">
        <f>X2&amp;"  "&amp;Y2&amp;"  "&amp;Z2</f>
        <v>17/20  5/2  3/1</v>
      </c>
      <c r="X2" s="17" t="str">
        <f t="shared" ref="X2:X32" si="4">CONCATENATE(I2,"/",J2)</f>
        <v>17/20</v>
      </c>
      <c r="Y2" s="17" t="str">
        <f t="shared" ref="Y2:Y32" si="5">CONCATENATE(K2,"/",L2)</f>
        <v>5/2</v>
      </c>
      <c r="Z2" s="17" t="str">
        <f t="shared" ref="Z2:Z32" si="6">CONCATENATE(M2,"/",N2)</f>
        <v>3/1</v>
      </c>
      <c r="AA2" s="169">
        <f>IF(B2="","",1+(I2/J2))</f>
        <v>1.85</v>
      </c>
      <c r="AB2" s="169">
        <f>IF(D2="","",1+(K2/L2))</f>
        <v>3.5</v>
      </c>
      <c r="AC2" s="169">
        <f>IF(E2="","",1+(M2/N2))</f>
        <v>4</v>
      </c>
      <c r="AD2" s="11"/>
      <c r="AH2" s="11"/>
    </row>
    <row r="3" spans="1:39">
      <c r="A3" s="545">
        <v>2</v>
      </c>
      <c r="B3" s="25">
        <v>45913</v>
      </c>
      <c r="C3" s="160">
        <v>10</v>
      </c>
      <c r="D3" s="21" t="s">
        <v>578</v>
      </c>
      <c r="E3" s="25" t="s">
        <v>579</v>
      </c>
      <c r="F3" s="25" t="s">
        <v>580</v>
      </c>
      <c r="G3" s="160">
        <v>3</v>
      </c>
      <c r="H3" s="160">
        <v>0</v>
      </c>
      <c r="I3" s="160">
        <v>2</v>
      </c>
      <c r="J3" s="160">
        <v>5</v>
      </c>
      <c r="K3" s="160">
        <v>15</v>
      </c>
      <c r="L3" s="160">
        <v>4</v>
      </c>
      <c r="M3" s="160">
        <v>13</v>
      </c>
      <c r="N3" s="160">
        <v>2</v>
      </c>
      <c r="O3" s="105" t="b">
        <v>0</v>
      </c>
      <c r="P3" s="547" t="str">
        <f t="shared" ref="P3:P47" si="7">IF(B3="","",IF(O3=FALSE,"","OFF"))</f>
        <v/>
      </c>
      <c r="Q3" s="32" t="str">
        <f t="shared" si="0"/>
        <v>Arsenal</v>
      </c>
      <c r="R3" s="32" t="str">
        <f t="shared" si="1"/>
        <v>Forest</v>
      </c>
      <c r="S3" s="31" t="str">
        <f t="shared" si="2"/>
        <v>3</v>
      </c>
      <c r="T3" s="32" t="str">
        <f t="shared" si="3"/>
        <v>0</v>
      </c>
      <c r="U3" s="27" t="str">
        <f t="shared" ref="U3:U66" si="8">IF(B3="","",IF(O3=TRUE,Q3&amp;"  v  "&amp;R3&amp;"  OFF",Q3&amp;"  v  "&amp;R3&amp;"   "&amp;W3))</f>
        <v>Arsenal  v  Forest   2/5  15/4  13/2</v>
      </c>
      <c r="V3" s="30" t="str">
        <f t="shared" ref="V3:V47" si="9">Q3&amp;" "&amp;S3&amp;"-"&amp;T3&amp;" "&amp;R3&amp;" "&amp;P3</f>
        <v xml:space="preserve">Arsenal 3-0 Forest </v>
      </c>
      <c r="W3" t="str">
        <f t="shared" ref="W3:W44" si="10">X3&amp;"  "&amp;Y3&amp;"  "&amp;Z3</f>
        <v>2/5  15/4  13/2</v>
      </c>
      <c r="X3" s="17" t="str">
        <f t="shared" si="4"/>
        <v>2/5</v>
      </c>
      <c r="Y3" s="17" t="str">
        <f t="shared" si="5"/>
        <v>15/4</v>
      </c>
      <c r="Z3" s="17" t="str">
        <f t="shared" si="6"/>
        <v>13/2</v>
      </c>
      <c r="AA3" s="169">
        <f t="shared" ref="AA3:AA47" si="11">IF(B3="","",1+(I3/J3))</f>
        <v>1.4</v>
      </c>
      <c r="AB3" s="169">
        <f t="shared" ref="AB3:AB47" si="12">IF(D3="","",1+(K3/L3))</f>
        <v>4.75</v>
      </c>
      <c r="AC3" s="169">
        <f t="shared" ref="AC3:AC47" si="13">IF(E3="","",1+(M3/N3))</f>
        <v>7.5</v>
      </c>
      <c r="AD3" s="11"/>
      <c r="AH3" s="11"/>
    </row>
    <row r="4" spans="1:39">
      <c r="A4" s="545">
        <v>3</v>
      </c>
      <c r="B4" s="25">
        <v>45913</v>
      </c>
      <c r="C4" s="160">
        <v>10</v>
      </c>
      <c r="D4" s="25" t="s">
        <v>578</v>
      </c>
      <c r="E4" s="25" t="s">
        <v>581</v>
      </c>
      <c r="F4" s="25" t="s">
        <v>582</v>
      </c>
      <c r="G4" s="160">
        <v>2</v>
      </c>
      <c r="H4" s="160">
        <v>1</v>
      </c>
      <c r="I4" s="160">
        <v>7</v>
      </c>
      <c r="J4" s="160">
        <v>5</v>
      </c>
      <c r="K4" s="160">
        <v>5</v>
      </c>
      <c r="L4" s="160">
        <v>2</v>
      </c>
      <c r="M4" s="160">
        <v>9</v>
      </c>
      <c r="N4" s="160">
        <v>5</v>
      </c>
      <c r="O4" s="105" t="b">
        <v>0</v>
      </c>
      <c r="P4" s="547" t="str">
        <f t="shared" si="7"/>
        <v/>
      </c>
      <c r="Q4" s="32" t="str">
        <f t="shared" si="0"/>
        <v>Bournemouth</v>
      </c>
      <c r="R4" s="32" t="str">
        <f t="shared" si="1"/>
        <v>Brighton</v>
      </c>
      <c r="S4" s="31" t="str">
        <f t="shared" si="2"/>
        <v>2</v>
      </c>
      <c r="T4" s="32" t="str">
        <f t="shared" si="3"/>
        <v>1</v>
      </c>
      <c r="U4" s="27" t="str">
        <f t="shared" si="8"/>
        <v>Bournemouth  v  Brighton   7/5  5/2  9/5</v>
      </c>
      <c r="V4" s="30" t="str">
        <f t="shared" si="9"/>
        <v xml:space="preserve">Bournemouth 2-1 Brighton </v>
      </c>
      <c r="W4" t="str">
        <f t="shared" si="10"/>
        <v>7/5  5/2  9/5</v>
      </c>
      <c r="X4" s="17" t="str">
        <f t="shared" si="4"/>
        <v>7/5</v>
      </c>
      <c r="Y4" s="17" t="str">
        <f t="shared" si="5"/>
        <v>5/2</v>
      </c>
      <c r="Z4" s="17" t="str">
        <f t="shared" si="6"/>
        <v>9/5</v>
      </c>
      <c r="AA4" s="169">
        <f t="shared" si="11"/>
        <v>2.4</v>
      </c>
      <c r="AB4" s="169">
        <f t="shared" si="12"/>
        <v>3.5</v>
      </c>
      <c r="AC4" s="169">
        <f t="shared" si="13"/>
        <v>2.8</v>
      </c>
      <c r="AD4" s="11"/>
      <c r="AH4" s="11"/>
    </row>
    <row r="5" spans="1:39">
      <c r="A5" s="545">
        <v>4</v>
      </c>
      <c r="B5" s="25">
        <v>45913</v>
      </c>
      <c r="C5" s="160">
        <v>10</v>
      </c>
      <c r="D5" s="25" t="s">
        <v>578</v>
      </c>
      <c r="E5" s="25" t="s">
        <v>583</v>
      </c>
      <c r="F5" s="25" t="s">
        <v>584</v>
      </c>
      <c r="G5" s="160">
        <v>2</v>
      </c>
      <c r="H5" s="160">
        <v>2</v>
      </c>
      <c r="I5" s="160">
        <v>17</v>
      </c>
      <c r="J5" s="160">
        <v>5</v>
      </c>
      <c r="K5" s="160">
        <v>11</v>
      </c>
      <c r="L5" s="160">
        <v>4</v>
      </c>
      <c r="M5" s="160">
        <v>3</v>
      </c>
      <c r="N5" s="160">
        <v>4</v>
      </c>
      <c r="O5" s="105" t="b">
        <v>0</v>
      </c>
      <c r="P5" s="547" t="str">
        <f t="shared" si="7"/>
        <v/>
      </c>
      <c r="Q5" s="32" t="str">
        <f t="shared" si="0"/>
        <v>Brentford</v>
      </c>
      <c r="R5" s="32" t="str">
        <f t="shared" si="1"/>
        <v>Chelsea</v>
      </c>
      <c r="S5" s="31" t="str">
        <f t="shared" si="2"/>
        <v>2</v>
      </c>
      <c r="T5" s="32" t="str">
        <f t="shared" si="3"/>
        <v>2</v>
      </c>
      <c r="U5" s="27" t="str">
        <f t="shared" si="8"/>
        <v>Brentford  v  Chelsea   17/5  11/4  3/4</v>
      </c>
      <c r="V5" s="30" t="str">
        <f t="shared" si="9"/>
        <v xml:space="preserve">Brentford 2-2 Chelsea </v>
      </c>
      <c r="W5" t="str">
        <f t="shared" si="10"/>
        <v>17/5  11/4  3/4</v>
      </c>
      <c r="X5" s="17" t="str">
        <f t="shared" si="4"/>
        <v>17/5</v>
      </c>
      <c r="Y5" s="17" t="str">
        <f t="shared" si="5"/>
        <v>11/4</v>
      </c>
      <c r="Z5" s="17" t="str">
        <f t="shared" si="6"/>
        <v>3/4</v>
      </c>
      <c r="AA5" s="169">
        <f t="shared" si="11"/>
        <v>4.4000000000000004</v>
      </c>
      <c r="AB5" s="169">
        <f t="shared" si="12"/>
        <v>3.75</v>
      </c>
      <c r="AC5" s="169">
        <f t="shared" si="13"/>
        <v>1.75</v>
      </c>
      <c r="AD5" s="11"/>
      <c r="AH5" s="11"/>
    </row>
    <row r="6" spans="1:39">
      <c r="A6" s="545">
        <v>5</v>
      </c>
      <c r="B6" s="25">
        <v>45913</v>
      </c>
      <c r="C6" s="160">
        <v>10</v>
      </c>
      <c r="D6" s="25" t="s">
        <v>578</v>
      </c>
      <c r="E6" s="25" t="s">
        <v>585</v>
      </c>
      <c r="F6" s="25" t="s">
        <v>409</v>
      </c>
      <c r="G6" s="160">
        <v>0</v>
      </c>
      <c r="H6" s="160">
        <v>0</v>
      </c>
      <c r="I6" s="160">
        <v>29</v>
      </c>
      <c r="J6" s="160">
        <v>20</v>
      </c>
      <c r="K6" s="160">
        <v>11</v>
      </c>
      <c r="L6" s="160">
        <v>5</v>
      </c>
      <c r="M6" s="160">
        <v>19</v>
      </c>
      <c r="N6" s="160">
        <v>10</v>
      </c>
      <c r="O6" s="105" t="b">
        <v>0</v>
      </c>
      <c r="P6" s="547" t="str">
        <f t="shared" si="7"/>
        <v/>
      </c>
      <c r="Q6" s="32" t="str">
        <f t="shared" si="0"/>
        <v>Everton</v>
      </c>
      <c r="R6" s="32" t="str">
        <f t="shared" si="1"/>
        <v>Villa</v>
      </c>
      <c r="S6" s="31" t="str">
        <f t="shared" si="2"/>
        <v>0</v>
      </c>
      <c r="T6" s="32" t="str">
        <f t="shared" si="3"/>
        <v>0</v>
      </c>
      <c r="U6" s="27" t="str">
        <f t="shared" si="8"/>
        <v>Everton  v  Villa   29/20  11/5  19/10</v>
      </c>
      <c r="V6" s="30" t="str">
        <f t="shared" si="9"/>
        <v xml:space="preserve">Everton 0-0 Villa </v>
      </c>
      <c r="W6" t="str">
        <f t="shared" si="10"/>
        <v>29/20  11/5  19/10</v>
      </c>
      <c r="X6" s="17" t="str">
        <f t="shared" si="4"/>
        <v>29/20</v>
      </c>
      <c r="Y6" s="17" t="str">
        <f t="shared" si="5"/>
        <v>11/5</v>
      </c>
      <c r="Z6" s="17" t="str">
        <f t="shared" si="6"/>
        <v>19/10</v>
      </c>
      <c r="AA6" s="169">
        <f t="shared" si="11"/>
        <v>2.4500000000000002</v>
      </c>
      <c r="AB6" s="169">
        <f t="shared" si="12"/>
        <v>3.2</v>
      </c>
      <c r="AC6" s="169">
        <f t="shared" si="13"/>
        <v>2.9</v>
      </c>
      <c r="AD6" s="11"/>
      <c r="AH6" s="11"/>
    </row>
    <row r="7" spans="1:39">
      <c r="A7" s="545">
        <v>6</v>
      </c>
      <c r="B7" s="25">
        <v>45913</v>
      </c>
      <c r="C7" s="160">
        <v>10</v>
      </c>
      <c r="D7" s="25" t="s">
        <v>578</v>
      </c>
      <c r="E7" s="25" t="s">
        <v>586</v>
      </c>
      <c r="F7" s="25" t="s">
        <v>587</v>
      </c>
      <c r="G7" s="160">
        <v>1</v>
      </c>
      <c r="H7" s="160">
        <v>0</v>
      </c>
      <c r="I7" s="160">
        <v>10</v>
      </c>
      <c r="J7" s="160">
        <v>11</v>
      </c>
      <c r="K7" s="160">
        <v>13</v>
      </c>
      <c r="L7" s="160">
        <v>5</v>
      </c>
      <c r="M7" s="160">
        <v>29</v>
      </c>
      <c r="N7" s="160">
        <v>10</v>
      </c>
      <c r="O7" s="105" t="b">
        <v>0</v>
      </c>
      <c r="P7" s="547" t="str">
        <f t="shared" si="7"/>
        <v/>
      </c>
      <c r="Q7" s="32" t="str">
        <f>TRIM(E7)</f>
        <v>Fulham</v>
      </c>
      <c r="R7" s="32" t="str">
        <f t="shared" si="1"/>
        <v>Leeds</v>
      </c>
      <c r="S7" s="31" t="str">
        <f t="shared" si="2"/>
        <v>1</v>
      </c>
      <c r="T7" s="32" t="str">
        <f t="shared" si="3"/>
        <v>0</v>
      </c>
      <c r="U7" s="27" t="str">
        <f t="shared" si="8"/>
        <v>Fulham  v  Leeds   10/11  13/5  29/10</v>
      </c>
      <c r="V7" s="30" t="str">
        <f t="shared" si="9"/>
        <v xml:space="preserve">Fulham 1-0 Leeds </v>
      </c>
      <c r="W7" t="str">
        <f t="shared" si="10"/>
        <v>10/11  13/5  29/10</v>
      </c>
      <c r="X7" s="17" t="str">
        <f t="shared" si="4"/>
        <v>10/11</v>
      </c>
      <c r="Y7" s="17" t="str">
        <f t="shared" si="5"/>
        <v>13/5</v>
      </c>
      <c r="Z7" s="17" t="str">
        <f t="shared" si="6"/>
        <v>29/10</v>
      </c>
      <c r="AA7" s="169">
        <f t="shared" si="11"/>
        <v>1.9090909090909092</v>
      </c>
      <c r="AB7" s="169">
        <f t="shared" si="12"/>
        <v>3.6</v>
      </c>
      <c r="AC7" s="169">
        <f t="shared" si="13"/>
        <v>3.9</v>
      </c>
      <c r="AD7" s="11"/>
      <c r="AH7" s="11"/>
    </row>
    <row r="8" spans="1:39">
      <c r="A8" s="545">
        <v>7</v>
      </c>
      <c r="B8" s="25">
        <v>45913</v>
      </c>
      <c r="C8" s="160">
        <v>10</v>
      </c>
      <c r="D8" s="25" t="s">
        <v>578</v>
      </c>
      <c r="E8" s="25" t="s">
        <v>588</v>
      </c>
      <c r="F8" s="25" t="s">
        <v>589</v>
      </c>
      <c r="G8" s="160">
        <v>1</v>
      </c>
      <c r="H8" s="160">
        <v>0</v>
      </c>
      <c r="I8" s="160">
        <v>4</v>
      </c>
      <c r="J8" s="160">
        <v>9</v>
      </c>
      <c r="K8" s="160">
        <v>7</v>
      </c>
      <c r="L8" s="160">
        <v>2</v>
      </c>
      <c r="M8" s="160">
        <v>11</v>
      </c>
      <c r="N8" s="160">
        <v>2</v>
      </c>
      <c r="O8" s="105" t="b">
        <v>0</v>
      </c>
      <c r="P8" s="547" t="str">
        <f t="shared" si="7"/>
        <v/>
      </c>
      <c r="Q8" s="32" t="str">
        <f t="shared" si="0"/>
        <v>Newcastle</v>
      </c>
      <c r="R8" s="32" t="str">
        <f t="shared" si="1"/>
        <v>Wolves</v>
      </c>
      <c r="S8" s="31" t="str">
        <f t="shared" si="2"/>
        <v>1</v>
      </c>
      <c r="T8" s="32" t="str">
        <f t="shared" si="3"/>
        <v>0</v>
      </c>
      <c r="U8" s="27" t="str">
        <f t="shared" si="8"/>
        <v>Newcastle  v  Wolves   4/9  7/2  11/2</v>
      </c>
      <c r="V8" s="30" t="str">
        <f t="shared" si="9"/>
        <v xml:space="preserve">Newcastle 1-0 Wolves </v>
      </c>
      <c r="W8" t="str">
        <f t="shared" si="10"/>
        <v>4/9  7/2  11/2</v>
      </c>
      <c r="X8" s="17" t="str">
        <f t="shared" si="4"/>
        <v>4/9</v>
      </c>
      <c r="Y8" s="17" t="str">
        <f t="shared" si="5"/>
        <v>7/2</v>
      </c>
      <c r="Z8" s="17" t="str">
        <f t="shared" si="6"/>
        <v>11/2</v>
      </c>
      <c r="AA8" s="169">
        <f t="shared" si="11"/>
        <v>1.4444444444444444</v>
      </c>
      <c r="AB8" s="169">
        <f t="shared" si="12"/>
        <v>4.5</v>
      </c>
      <c r="AC8" s="169">
        <f t="shared" si="13"/>
        <v>6.5</v>
      </c>
      <c r="AD8" s="11"/>
      <c r="AH8" s="11"/>
    </row>
    <row r="9" spans="1:39">
      <c r="A9" s="545">
        <v>8</v>
      </c>
      <c r="B9" s="25">
        <v>45913</v>
      </c>
      <c r="C9" s="160">
        <v>10</v>
      </c>
      <c r="D9" s="25" t="s">
        <v>578</v>
      </c>
      <c r="E9" s="25" t="s">
        <v>590</v>
      </c>
      <c r="F9" s="25" t="s">
        <v>167</v>
      </c>
      <c r="G9" s="160">
        <v>0</v>
      </c>
      <c r="H9" s="160">
        <v>0</v>
      </c>
      <c r="I9" s="160">
        <v>8</v>
      </c>
      <c r="J9" s="160">
        <v>13</v>
      </c>
      <c r="K9" s="160">
        <v>14</v>
      </c>
      <c r="L9" s="160">
        <v>5</v>
      </c>
      <c r="M9" s="160">
        <v>4</v>
      </c>
      <c r="N9" s="160">
        <v>1</v>
      </c>
      <c r="O9" s="105" t="b">
        <v>0</v>
      </c>
      <c r="P9" s="547" t="str">
        <f t="shared" si="7"/>
        <v/>
      </c>
      <c r="Q9" s="32" t="str">
        <f t="shared" si="0"/>
        <v>Palace</v>
      </c>
      <c r="R9" s="32" t="str">
        <f t="shared" si="1"/>
        <v>Sunderland</v>
      </c>
      <c r="S9" s="31" t="str">
        <f t="shared" si="2"/>
        <v>0</v>
      </c>
      <c r="T9" s="32" t="str">
        <f t="shared" si="3"/>
        <v>0</v>
      </c>
      <c r="U9" s="27" t="str">
        <f t="shared" si="8"/>
        <v>Palace  v  Sunderland   8/13  14/5  4/1</v>
      </c>
      <c r="V9" s="30" t="str">
        <f t="shared" si="9"/>
        <v xml:space="preserve">Palace 0-0 Sunderland </v>
      </c>
      <c r="W9" t="str">
        <f t="shared" si="10"/>
        <v>8/13  14/5  4/1</v>
      </c>
      <c r="X9" s="17" t="str">
        <f t="shared" si="4"/>
        <v>8/13</v>
      </c>
      <c r="Y9" s="17" t="str">
        <f t="shared" si="5"/>
        <v>14/5</v>
      </c>
      <c r="Z9" s="17" t="str">
        <f t="shared" si="6"/>
        <v>4/1</v>
      </c>
      <c r="AA9" s="169">
        <f t="shared" si="11"/>
        <v>1.6153846153846154</v>
      </c>
      <c r="AB9" s="169">
        <f t="shared" si="12"/>
        <v>3.8</v>
      </c>
      <c r="AC9" s="169">
        <f t="shared" si="13"/>
        <v>5</v>
      </c>
      <c r="AD9" s="11"/>
      <c r="AH9" s="11"/>
    </row>
    <row r="10" spans="1:39">
      <c r="A10" s="545">
        <v>9</v>
      </c>
      <c r="B10" s="25">
        <v>45913</v>
      </c>
      <c r="C10" s="160">
        <v>10</v>
      </c>
      <c r="D10" s="25" t="s">
        <v>578</v>
      </c>
      <c r="E10" s="25" t="s">
        <v>411</v>
      </c>
      <c r="F10" s="25" t="s">
        <v>412</v>
      </c>
      <c r="G10" s="160">
        <v>0</v>
      </c>
      <c r="H10" s="160">
        <v>3</v>
      </c>
      <c r="I10" s="160">
        <v>23</v>
      </c>
      <c r="J10" s="160">
        <v>10</v>
      </c>
      <c r="K10" s="160">
        <v>12</v>
      </c>
      <c r="L10" s="160">
        <v>5</v>
      </c>
      <c r="M10" s="160">
        <v>23</v>
      </c>
      <c r="N10" s="160">
        <v>20</v>
      </c>
      <c r="O10" s="105" t="b">
        <v>0</v>
      </c>
      <c r="P10" s="547" t="str">
        <f t="shared" si="7"/>
        <v/>
      </c>
      <c r="Q10" s="32" t="str">
        <f t="shared" si="0"/>
        <v>West Ham</v>
      </c>
      <c r="R10" s="32" t="str">
        <f t="shared" si="1"/>
        <v>Spurs</v>
      </c>
      <c r="S10" s="31" t="str">
        <f t="shared" si="2"/>
        <v>0</v>
      </c>
      <c r="T10" s="32" t="str">
        <f t="shared" si="3"/>
        <v>3</v>
      </c>
      <c r="U10" s="27" t="str">
        <f t="shared" si="8"/>
        <v>West Ham  v  Spurs   23/10  12/5  23/20</v>
      </c>
      <c r="V10" s="30" t="str">
        <f t="shared" si="9"/>
        <v xml:space="preserve">West Ham 0-3 Spurs </v>
      </c>
      <c r="W10" t="str">
        <f t="shared" si="10"/>
        <v>23/10  12/5  23/20</v>
      </c>
      <c r="X10" s="17" t="str">
        <f t="shared" si="4"/>
        <v>23/10</v>
      </c>
      <c r="Y10" s="17" t="str">
        <f t="shared" si="5"/>
        <v>12/5</v>
      </c>
      <c r="Z10" s="17" t="str">
        <f t="shared" si="6"/>
        <v>23/20</v>
      </c>
      <c r="AA10" s="169">
        <f t="shared" si="11"/>
        <v>3.3</v>
      </c>
      <c r="AB10" s="169">
        <f t="shared" si="12"/>
        <v>3.4</v>
      </c>
      <c r="AC10" s="169">
        <f t="shared" si="13"/>
        <v>2.15</v>
      </c>
      <c r="AD10" s="11"/>
      <c r="AH10" s="11"/>
    </row>
    <row r="11" spans="1:39">
      <c r="A11" s="545">
        <v>10</v>
      </c>
      <c r="B11" s="25">
        <v>45913</v>
      </c>
      <c r="C11" s="160">
        <v>11</v>
      </c>
      <c r="D11" s="25" t="s">
        <v>576</v>
      </c>
      <c r="E11" s="25" t="s">
        <v>591</v>
      </c>
      <c r="F11" s="25" t="s">
        <v>592</v>
      </c>
      <c r="G11" s="160">
        <v>1</v>
      </c>
      <c r="H11" s="160">
        <v>1</v>
      </c>
      <c r="I11" s="160">
        <v>13</v>
      </c>
      <c r="J11" s="160">
        <v>10</v>
      </c>
      <c r="K11" s="160">
        <v>21</v>
      </c>
      <c r="L11" s="160">
        <v>10</v>
      </c>
      <c r="M11" s="160">
        <v>2</v>
      </c>
      <c r="N11" s="160">
        <v>1</v>
      </c>
      <c r="O11" s="105" t="b">
        <v>0</v>
      </c>
      <c r="P11" s="547" t="str">
        <f t="shared" si="7"/>
        <v/>
      </c>
      <c r="Q11" s="32" t="str">
        <f t="shared" si="0"/>
        <v>Charlton</v>
      </c>
      <c r="R11" s="32" t="str">
        <f t="shared" si="1"/>
        <v>Millwall</v>
      </c>
      <c r="S11" s="31" t="str">
        <f t="shared" si="2"/>
        <v>1</v>
      </c>
      <c r="T11" s="32" t="str">
        <f t="shared" si="3"/>
        <v>1</v>
      </c>
      <c r="U11" s="27" t="str">
        <f t="shared" si="8"/>
        <v>Charlton  v  Millwall   13/10  21/10  2/1</v>
      </c>
      <c r="V11" s="30" t="str">
        <f t="shared" si="9"/>
        <v xml:space="preserve">Charlton 1-1 Millwall </v>
      </c>
      <c r="W11" t="str">
        <f t="shared" si="10"/>
        <v>13/10  21/10  2/1</v>
      </c>
      <c r="X11" s="17" t="str">
        <f t="shared" si="4"/>
        <v>13/10</v>
      </c>
      <c r="Y11" s="17" t="str">
        <f t="shared" si="5"/>
        <v>21/10</v>
      </c>
      <c r="Z11" s="17" t="str">
        <f t="shared" si="6"/>
        <v>2/1</v>
      </c>
      <c r="AA11" s="169">
        <f t="shared" si="11"/>
        <v>2.2999999999999998</v>
      </c>
      <c r="AB11" s="169">
        <f t="shared" si="12"/>
        <v>3.1</v>
      </c>
      <c r="AC11" s="169">
        <f t="shared" si="13"/>
        <v>3</v>
      </c>
      <c r="AD11" s="11"/>
      <c r="AH11" s="11"/>
    </row>
    <row r="12" spans="1:39">
      <c r="A12" s="545">
        <v>11</v>
      </c>
      <c r="B12" s="25">
        <v>45913</v>
      </c>
      <c r="C12" s="160">
        <v>11</v>
      </c>
      <c r="D12" s="25" t="s">
        <v>576</v>
      </c>
      <c r="E12" s="25" t="s">
        <v>537</v>
      </c>
      <c r="F12" s="25" t="s">
        <v>593</v>
      </c>
      <c r="G12" s="160">
        <v>1</v>
      </c>
      <c r="H12" s="160">
        <v>1</v>
      </c>
      <c r="I12" s="160">
        <v>8</v>
      </c>
      <c r="J12" s="160">
        <v>11</v>
      </c>
      <c r="K12" s="160">
        <v>27</v>
      </c>
      <c r="L12" s="160">
        <v>10</v>
      </c>
      <c r="M12" s="160">
        <v>7</v>
      </c>
      <c r="N12" s="160">
        <v>2</v>
      </c>
      <c r="O12" s="105" t="b">
        <v>0</v>
      </c>
      <c r="P12" s="547" t="str">
        <f t="shared" si="7"/>
        <v/>
      </c>
      <c r="Q12" s="32" t="str">
        <f t="shared" si="0"/>
        <v>Coventry</v>
      </c>
      <c r="R12" s="32" t="str">
        <f t="shared" si="1"/>
        <v>Norwich</v>
      </c>
      <c r="S12" s="31" t="str">
        <f t="shared" si="2"/>
        <v>1</v>
      </c>
      <c r="T12" s="32" t="str">
        <f t="shared" si="3"/>
        <v>1</v>
      </c>
      <c r="U12" s="27" t="str">
        <f t="shared" si="8"/>
        <v>Coventry  v  Norwich   8/11  27/10  7/2</v>
      </c>
      <c r="V12" s="30" t="str">
        <f t="shared" si="9"/>
        <v xml:space="preserve">Coventry 1-1 Norwich </v>
      </c>
      <c r="W12" t="str">
        <f t="shared" si="10"/>
        <v>8/11  27/10  7/2</v>
      </c>
      <c r="X12" s="17" t="str">
        <f t="shared" si="4"/>
        <v>8/11</v>
      </c>
      <c r="Y12" s="17" t="str">
        <f t="shared" si="5"/>
        <v>27/10</v>
      </c>
      <c r="Z12" s="17" t="str">
        <f t="shared" si="6"/>
        <v>7/2</v>
      </c>
      <c r="AA12" s="169">
        <f t="shared" si="11"/>
        <v>1.7272727272727273</v>
      </c>
      <c r="AB12" s="169">
        <f t="shared" si="12"/>
        <v>3.7</v>
      </c>
      <c r="AC12" s="169">
        <f t="shared" si="13"/>
        <v>4.5</v>
      </c>
      <c r="AD12" s="11"/>
      <c r="AH12" s="11"/>
    </row>
    <row r="13" spans="1:39">
      <c r="A13" s="545">
        <v>12</v>
      </c>
      <c r="B13" s="25">
        <v>45913</v>
      </c>
      <c r="C13" s="160">
        <v>11</v>
      </c>
      <c r="D13" s="25" t="s">
        <v>576</v>
      </c>
      <c r="E13" s="25" t="s">
        <v>594</v>
      </c>
      <c r="F13" s="25" t="s">
        <v>595</v>
      </c>
      <c r="G13" s="160">
        <v>2</v>
      </c>
      <c r="H13" s="160">
        <v>2</v>
      </c>
      <c r="I13" s="160">
        <v>29</v>
      </c>
      <c r="J13" s="160">
        <v>10</v>
      </c>
      <c r="K13" s="160">
        <v>12</v>
      </c>
      <c r="L13" s="160">
        <v>5</v>
      </c>
      <c r="M13" s="160">
        <v>10</v>
      </c>
      <c r="N13" s="160">
        <v>11</v>
      </c>
      <c r="O13" s="105" t="b">
        <v>0</v>
      </c>
      <c r="P13" s="547" t="str">
        <f t="shared" si="7"/>
        <v/>
      </c>
      <c r="Q13" s="32" t="str">
        <f t="shared" si="0"/>
        <v>Oxford</v>
      </c>
      <c r="R13" s="32" t="str">
        <f t="shared" si="1"/>
        <v>Leicester</v>
      </c>
      <c r="S13" s="31" t="str">
        <f t="shared" si="2"/>
        <v>2</v>
      </c>
      <c r="T13" s="32" t="str">
        <f t="shared" si="3"/>
        <v>2</v>
      </c>
      <c r="U13" s="27" t="str">
        <f t="shared" si="8"/>
        <v>Oxford  v  Leicester   29/10  12/5  10/11</v>
      </c>
      <c r="V13" s="30" t="str">
        <f t="shared" si="9"/>
        <v xml:space="preserve">Oxford 2-2 Leicester </v>
      </c>
      <c r="W13" t="str">
        <f t="shared" si="10"/>
        <v>29/10  12/5  10/11</v>
      </c>
      <c r="X13" s="17" t="str">
        <f t="shared" si="4"/>
        <v>29/10</v>
      </c>
      <c r="Y13" s="17" t="str">
        <f t="shared" si="5"/>
        <v>12/5</v>
      </c>
      <c r="Z13" s="17" t="str">
        <f t="shared" si="6"/>
        <v>10/11</v>
      </c>
      <c r="AA13" s="169">
        <f t="shared" si="11"/>
        <v>3.9</v>
      </c>
      <c r="AB13" s="169">
        <f t="shared" si="12"/>
        <v>3.4</v>
      </c>
      <c r="AC13" s="169">
        <f t="shared" si="13"/>
        <v>1.9090909090909092</v>
      </c>
      <c r="AD13" s="11"/>
      <c r="AH13" s="11"/>
    </row>
    <row r="14" spans="1:39">
      <c r="A14" s="545">
        <v>13</v>
      </c>
      <c r="B14" s="25">
        <v>45913</v>
      </c>
      <c r="C14" s="160">
        <v>11</v>
      </c>
      <c r="D14" s="25" t="s">
        <v>576</v>
      </c>
      <c r="E14" s="21" t="s">
        <v>596</v>
      </c>
      <c r="F14" s="21" t="s">
        <v>597</v>
      </c>
      <c r="G14" s="160">
        <v>2</v>
      </c>
      <c r="H14" s="160">
        <v>2</v>
      </c>
      <c r="I14" s="160">
        <v>9</v>
      </c>
      <c r="J14" s="160">
        <v>5</v>
      </c>
      <c r="K14" s="160">
        <v>11</v>
      </c>
      <c r="L14" s="160">
        <v>5</v>
      </c>
      <c r="M14" s="160">
        <v>29</v>
      </c>
      <c r="N14" s="160">
        <v>20</v>
      </c>
      <c r="O14" s="104" t="b">
        <v>0</v>
      </c>
      <c r="P14" s="547" t="str">
        <f t="shared" si="7"/>
        <v/>
      </c>
      <c r="Q14" s="32" t="str">
        <f t="shared" si="0"/>
        <v>Preston</v>
      </c>
      <c r="R14" s="32" t="str">
        <f t="shared" si="1"/>
        <v>Middlesbro</v>
      </c>
      <c r="S14" s="31" t="str">
        <f t="shared" si="2"/>
        <v>2</v>
      </c>
      <c r="T14" s="32" t="str">
        <f t="shared" si="3"/>
        <v>2</v>
      </c>
      <c r="U14" s="27" t="str">
        <f t="shared" si="8"/>
        <v>Preston  v  Middlesbro   9/5  11/5  29/20</v>
      </c>
      <c r="V14" s="30" t="str">
        <f t="shared" si="9"/>
        <v xml:space="preserve">Preston 2-2 Middlesbro </v>
      </c>
      <c r="W14" t="str">
        <f t="shared" si="10"/>
        <v>9/5  11/5  29/20</v>
      </c>
      <c r="X14" s="17" t="str">
        <f t="shared" si="4"/>
        <v>9/5</v>
      </c>
      <c r="Y14" s="17" t="str">
        <f t="shared" si="5"/>
        <v>11/5</v>
      </c>
      <c r="Z14" s="17" t="str">
        <f t="shared" si="6"/>
        <v>29/20</v>
      </c>
      <c r="AA14" s="169">
        <f t="shared" si="11"/>
        <v>2.8</v>
      </c>
      <c r="AB14" s="169">
        <f t="shared" si="12"/>
        <v>3.2</v>
      </c>
      <c r="AC14" s="169">
        <f t="shared" si="13"/>
        <v>2.4500000000000002</v>
      </c>
      <c r="AD14" s="11"/>
      <c r="AH14" s="11"/>
    </row>
    <row r="15" spans="1:39">
      <c r="A15" s="545">
        <v>14</v>
      </c>
      <c r="B15" s="25">
        <v>45913</v>
      </c>
      <c r="C15" s="160">
        <v>11</v>
      </c>
      <c r="D15" s="25" t="s">
        <v>576</v>
      </c>
      <c r="E15" s="25" t="s">
        <v>598</v>
      </c>
      <c r="F15" s="21" t="s">
        <v>536</v>
      </c>
      <c r="G15" s="160">
        <v>0</v>
      </c>
      <c r="H15" s="160">
        <v>3</v>
      </c>
      <c r="I15" s="160">
        <v>23</v>
      </c>
      <c r="J15" s="160">
        <v>10</v>
      </c>
      <c r="K15" s="160">
        <v>23</v>
      </c>
      <c r="L15" s="160">
        <v>10</v>
      </c>
      <c r="M15" s="160">
        <v>11</v>
      </c>
      <c r="N15" s="160">
        <v>10</v>
      </c>
      <c r="O15" s="104" t="b">
        <v>0</v>
      </c>
      <c r="P15" s="547" t="str">
        <f t="shared" si="7"/>
        <v/>
      </c>
      <c r="Q15" s="32" t="str">
        <f t="shared" si="0"/>
        <v>Sheff W</v>
      </c>
      <c r="R15" s="32" t="str">
        <f t="shared" si="1"/>
        <v>Bristol C</v>
      </c>
      <c r="S15" s="31" t="str">
        <f t="shared" si="2"/>
        <v>0</v>
      </c>
      <c r="T15" s="32" t="str">
        <f t="shared" si="3"/>
        <v>3</v>
      </c>
      <c r="U15" s="27" t="str">
        <f t="shared" si="8"/>
        <v>Sheff W  v  Bristol C   23/10  23/10  11/10</v>
      </c>
      <c r="V15" s="30" t="str">
        <f t="shared" si="9"/>
        <v xml:space="preserve">Sheff W 0-3 Bristol C </v>
      </c>
      <c r="W15" t="str">
        <f t="shared" si="10"/>
        <v>23/10  23/10  11/10</v>
      </c>
      <c r="X15" s="17" t="str">
        <f t="shared" si="4"/>
        <v>23/10</v>
      </c>
      <c r="Y15" s="17" t="str">
        <f t="shared" si="5"/>
        <v>23/10</v>
      </c>
      <c r="Z15" s="17" t="str">
        <f t="shared" si="6"/>
        <v>11/10</v>
      </c>
      <c r="AA15" s="169">
        <f t="shared" si="11"/>
        <v>3.3</v>
      </c>
      <c r="AB15" s="169">
        <f t="shared" si="12"/>
        <v>3.3</v>
      </c>
      <c r="AC15" s="169">
        <f t="shared" si="13"/>
        <v>2.1</v>
      </c>
      <c r="AD15" s="11"/>
      <c r="AH15" s="11"/>
    </row>
    <row r="16" spans="1:39">
      <c r="A16" s="545">
        <v>15</v>
      </c>
      <c r="B16" s="25">
        <v>45913</v>
      </c>
      <c r="C16" s="160">
        <v>11</v>
      </c>
      <c r="D16" s="25" t="s">
        <v>576</v>
      </c>
      <c r="E16" s="25" t="s">
        <v>599</v>
      </c>
      <c r="F16" s="25" t="s">
        <v>600</v>
      </c>
      <c r="G16" s="160">
        <v>1</v>
      </c>
      <c r="H16" s="160">
        <v>0</v>
      </c>
      <c r="I16" s="160">
        <v>2</v>
      </c>
      <c r="J16" s="160">
        <v>1</v>
      </c>
      <c r="K16" s="160">
        <v>21</v>
      </c>
      <c r="L16" s="160">
        <v>10</v>
      </c>
      <c r="M16" s="160">
        <v>13</v>
      </c>
      <c r="N16" s="160">
        <v>10</v>
      </c>
      <c r="O16" s="104" t="b">
        <v>0</v>
      </c>
      <c r="P16" s="547" t="str">
        <f t="shared" si="7"/>
        <v/>
      </c>
      <c r="Q16" s="32" t="str">
        <f t="shared" si="0"/>
        <v>Stoke</v>
      </c>
      <c r="R16" s="32" t="str">
        <f t="shared" si="1"/>
        <v>Birmingham</v>
      </c>
      <c r="S16" s="31" t="str">
        <f t="shared" si="2"/>
        <v>1</v>
      </c>
      <c r="T16" s="32" t="str">
        <f t="shared" si="3"/>
        <v>0</v>
      </c>
      <c r="U16" s="27" t="str">
        <f t="shared" si="8"/>
        <v>Stoke  v  Birmingham   2/1  21/10  13/10</v>
      </c>
      <c r="V16" s="30" t="str">
        <f t="shared" si="9"/>
        <v xml:space="preserve">Stoke 1-0 Birmingham </v>
      </c>
      <c r="W16" t="str">
        <f t="shared" si="10"/>
        <v>2/1  21/10  13/10</v>
      </c>
      <c r="X16" s="17" t="str">
        <f t="shared" si="4"/>
        <v>2/1</v>
      </c>
      <c r="Y16" s="17" t="str">
        <f t="shared" si="5"/>
        <v>21/10</v>
      </c>
      <c r="Z16" s="17" t="str">
        <f t="shared" si="6"/>
        <v>13/10</v>
      </c>
      <c r="AA16" s="169">
        <f t="shared" si="11"/>
        <v>3</v>
      </c>
      <c r="AB16" s="169">
        <f t="shared" si="12"/>
        <v>3.1</v>
      </c>
      <c r="AC16" s="169">
        <f t="shared" si="13"/>
        <v>2.2999999999999998</v>
      </c>
      <c r="AD16" s="11"/>
      <c r="AH16" s="11"/>
    </row>
    <row r="17" spans="1:34">
      <c r="A17" s="545">
        <v>16</v>
      </c>
      <c r="B17" s="25">
        <v>45913</v>
      </c>
      <c r="C17" s="160">
        <v>11</v>
      </c>
      <c r="D17" s="25" t="s">
        <v>576</v>
      </c>
      <c r="E17" s="25" t="s">
        <v>601</v>
      </c>
      <c r="F17" s="25" t="s">
        <v>602</v>
      </c>
      <c r="G17" s="160">
        <v>2</v>
      </c>
      <c r="H17" s="160">
        <v>2</v>
      </c>
      <c r="I17" s="160">
        <v>5</v>
      </c>
      <c r="J17" s="160">
        <v>6</v>
      </c>
      <c r="K17" s="160">
        <v>12</v>
      </c>
      <c r="L17" s="160">
        <v>5</v>
      </c>
      <c r="M17" s="160">
        <v>10</v>
      </c>
      <c r="N17" s="160">
        <v>3</v>
      </c>
      <c r="O17" s="104" t="b">
        <v>0</v>
      </c>
      <c r="P17" s="547" t="str">
        <f t="shared" si="7"/>
        <v/>
      </c>
      <c r="Q17" s="32" t="str">
        <f t="shared" si="0"/>
        <v>Swansea</v>
      </c>
      <c r="R17" s="32" t="str">
        <f t="shared" si="1"/>
        <v>Hull</v>
      </c>
      <c r="S17" s="31" t="str">
        <f t="shared" si="2"/>
        <v>2</v>
      </c>
      <c r="T17" s="32" t="str">
        <f t="shared" si="3"/>
        <v>2</v>
      </c>
      <c r="U17" s="27" t="str">
        <f t="shared" si="8"/>
        <v>Swansea  v  Hull   5/6  12/5  10/3</v>
      </c>
      <c r="V17" s="30" t="str">
        <f t="shared" si="9"/>
        <v xml:space="preserve">Swansea 2-2 Hull </v>
      </c>
      <c r="W17" t="str">
        <f t="shared" si="10"/>
        <v>5/6  12/5  10/3</v>
      </c>
      <c r="X17" s="17" t="str">
        <f t="shared" si="4"/>
        <v>5/6</v>
      </c>
      <c r="Y17" s="17" t="str">
        <f t="shared" si="5"/>
        <v>12/5</v>
      </c>
      <c r="Z17" s="17" t="str">
        <f t="shared" si="6"/>
        <v>10/3</v>
      </c>
      <c r="AA17" s="169">
        <f t="shared" si="11"/>
        <v>1.8333333333333335</v>
      </c>
      <c r="AB17" s="169">
        <f t="shared" si="12"/>
        <v>3.4</v>
      </c>
      <c r="AC17" s="169">
        <f t="shared" si="13"/>
        <v>4.3333333333333339</v>
      </c>
      <c r="AD17" s="11"/>
      <c r="AH17" s="11"/>
    </row>
    <row r="18" spans="1:34">
      <c r="A18" s="545">
        <v>17</v>
      </c>
      <c r="B18" s="25">
        <v>45913</v>
      </c>
      <c r="C18" s="160">
        <v>11</v>
      </c>
      <c r="D18" s="25" t="s">
        <v>576</v>
      </c>
      <c r="E18" s="21" t="s">
        <v>603</v>
      </c>
      <c r="F18" s="25" t="s">
        <v>604</v>
      </c>
      <c r="G18" s="160">
        <v>0</v>
      </c>
      <c r="H18" s="160">
        <v>1</v>
      </c>
      <c r="I18" s="160">
        <v>29</v>
      </c>
      <c r="J18" s="160">
        <v>20</v>
      </c>
      <c r="K18" s="160">
        <v>11</v>
      </c>
      <c r="L18" s="160">
        <v>5</v>
      </c>
      <c r="M18" s="160">
        <v>9</v>
      </c>
      <c r="N18" s="160">
        <v>5</v>
      </c>
      <c r="O18" s="104" t="b">
        <v>0</v>
      </c>
      <c r="P18" s="547" t="str">
        <f t="shared" si="7"/>
        <v/>
      </c>
      <c r="Q18" s="32" t="str">
        <f t="shared" si="0"/>
        <v>Watford</v>
      </c>
      <c r="R18" s="32" t="str">
        <f t="shared" si="1"/>
        <v>Blackburn</v>
      </c>
      <c r="S18" s="31" t="str">
        <f t="shared" si="2"/>
        <v>0</v>
      </c>
      <c r="T18" s="32" t="str">
        <f t="shared" si="3"/>
        <v>1</v>
      </c>
      <c r="U18" s="27" t="str">
        <f t="shared" si="8"/>
        <v>Watford  v  Blackburn   29/20  11/5  9/5</v>
      </c>
      <c r="V18" s="30" t="str">
        <f t="shared" si="9"/>
        <v xml:space="preserve">Watford 0-1 Blackburn </v>
      </c>
      <c r="W18" t="str">
        <f t="shared" si="10"/>
        <v>29/20  11/5  9/5</v>
      </c>
      <c r="X18" s="17" t="str">
        <f t="shared" si="4"/>
        <v>29/20</v>
      </c>
      <c r="Y18" s="17" t="str">
        <f t="shared" si="5"/>
        <v>11/5</v>
      </c>
      <c r="Z18" s="17" t="str">
        <f t="shared" si="6"/>
        <v>9/5</v>
      </c>
      <c r="AA18" s="169">
        <f t="shared" si="11"/>
        <v>2.4500000000000002</v>
      </c>
      <c r="AB18" s="169">
        <f t="shared" si="12"/>
        <v>3.2</v>
      </c>
      <c r="AC18" s="169">
        <f t="shared" si="13"/>
        <v>2.8</v>
      </c>
      <c r="AD18" s="11"/>
      <c r="AH18" s="11"/>
    </row>
    <row r="19" spans="1:34">
      <c r="A19" s="545">
        <v>18</v>
      </c>
      <c r="B19" s="25">
        <v>45913</v>
      </c>
      <c r="C19" s="160">
        <v>11</v>
      </c>
      <c r="D19" s="25" t="s">
        <v>576</v>
      </c>
      <c r="E19" s="25" t="s">
        <v>605</v>
      </c>
      <c r="F19" s="25" t="s">
        <v>606</v>
      </c>
      <c r="G19" s="160">
        <v>0</v>
      </c>
      <c r="H19" s="160">
        <v>1</v>
      </c>
      <c r="I19" s="160">
        <v>4</v>
      </c>
      <c r="J19" s="160">
        <v>5</v>
      </c>
      <c r="K19" s="160">
        <v>12</v>
      </c>
      <c r="L19" s="160">
        <v>5</v>
      </c>
      <c r="M19" s="160">
        <v>7</v>
      </c>
      <c r="N19" s="160">
        <v>2</v>
      </c>
      <c r="O19" s="105" t="b">
        <v>0</v>
      </c>
      <c r="P19" s="547" t="str">
        <f t="shared" si="7"/>
        <v/>
      </c>
      <c r="Q19" s="32" t="str">
        <f t="shared" si="0"/>
        <v>West Brom</v>
      </c>
      <c r="R19" s="32" t="str">
        <f t="shared" si="1"/>
        <v>Derby</v>
      </c>
      <c r="S19" s="31" t="str">
        <f t="shared" si="2"/>
        <v>0</v>
      </c>
      <c r="T19" s="32" t="str">
        <f t="shared" si="3"/>
        <v>1</v>
      </c>
      <c r="U19" s="27" t="str">
        <f t="shared" si="8"/>
        <v>West Brom  v  Derby   4/5  12/5  7/2</v>
      </c>
      <c r="V19" s="30" t="str">
        <f t="shared" si="9"/>
        <v xml:space="preserve">West Brom 0-1 Derby </v>
      </c>
      <c r="W19" t="str">
        <f t="shared" si="10"/>
        <v>4/5  12/5  7/2</v>
      </c>
      <c r="X19" s="17" t="str">
        <f t="shared" si="4"/>
        <v>4/5</v>
      </c>
      <c r="Y19" s="17" t="str">
        <f t="shared" si="5"/>
        <v>12/5</v>
      </c>
      <c r="Z19" s="17" t="str">
        <f t="shared" si="6"/>
        <v>7/2</v>
      </c>
      <c r="AA19" s="169">
        <f t="shared" si="11"/>
        <v>1.8</v>
      </c>
      <c r="AB19" s="169">
        <f t="shared" si="12"/>
        <v>3.4</v>
      </c>
      <c r="AC19" s="169">
        <f t="shared" si="13"/>
        <v>4.5</v>
      </c>
      <c r="AD19" s="11"/>
      <c r="AH19" s="11"/>
    </row>
    <row r="20" spans="1:34">
      <c r="A20" s="545">
        <v>19</v>
      </c>
      <c r="B20" s="25">
        <v>45913</v>
      </c>
      <c r="C20" s="160">
        <v>11</v>
      </c>
      <c r="D20" s="25" t="s">
        <v>576</v>
      </c>
      <c r="E20" s="25" t="s">
        <v>543</v>
      </c>
      <c r="F20" s="25" t="s">
        <v>607</v>
      </c>
      <c r="G20" s="160">
        <v>1</v>
      </c>
      <c r="H20" s="160">
        <v>3</v>
      </c>
      <c r="I20" s="160">
        <v>17</v>
      </c>
      <c r="J20" s="160">
        <v>20</v>
      </c>
      <c r="K20" s="160">
        <v>23</v>
      </c>
      <c r="L20" s="160">
        <v>10</v>
      </c>
      <c r="M20" s="160">
        <v>3</v>
      </c>
      <c r="N20" s="160">
        <v>1</v>
      </c>
      <c r="O20" s="105" t="b">
        <v>0</v>
      </c>
      <c r="P20" s="547" t="str">
        <f t="shared" si="7"/>
        <v/>
      </c>
      <c r="Q20" s="32" t="str">
        <f t="shared" si="0"/>
        <v>Wrexham</v>
      </c>
      <c r="R20" s="32" t="str">
        <f t="shared" si="1"/>
        <v>QPR</v>
      </c>
      <c r="S20" s="31" t="str">
        <f t="shared" si="2"/>
        <v>1</v>
      </c>
      <c r="T20" s="32" t="str">
        <f t="shared" si="3"/>
        <v>3</v>
      </c>
      <c r="U20" s="27" t="str">
        <f t="shared" si="8"/>
        <v>Wrexham  v  QPR   17/20  23/10  3/1</v>
      </c>
      <c r="V20" s="30" t="str">
        <f t="shared" si="9"/>
        <v xml:space="preserve">Wrexham 1-3 QPR </v>
      </c>
      <c r="W20" t="str">
        <f t="shared" si="10"/>
        <v>17/20  23/10  3/1</v>
      </c>
      <c r="X20" s="17" t="str">
        <f t="shared" si="4"/>
        <v>17/20</v>
      </c>
      <c r="Y20" s="17" t="str">
        <f t="shared" si="5"/>
        <v>23/10</v>
      </c>
      <c r="Z20" s="17" t="str">
        <f t="shared" si="6"/>
        <v>3/1</v>
      </c>
      <c r="AA20" s="169">
        <f t="shared" si="11"/>
        <v>1.85</v>
      </c>
      <c r="AB20" s="169">
        <f t="shared" si="12"/>
        <v>3.3</v>
      </c>
      <c r="AC20" s="169">
        <f t="shared" si="13"/>
        <v>4</v>
      </c>
      <c r="AD20" s="11"/>
      <c r="AH20" s="11"/>
    </row>
    <row r="21" spans="1:34">
      <c r="A21" s="545">
        <v>20</v>
      </c>
      <c r="B21" s="25">
        <v>45913</v>
      </c>
      <c r="C21" s="160">
        <v>12</v>
      </c>
      <c r="D21" s="25" t="s">
        <v>608</v>
      </c>
      <c r="E21" s="25" t="s">
        <v>609</v>
      </c>
      <c r="F21" s="25" t="s">
        <v>610</v>
      </c>
      <c r="G21" s="160">
        <v>3</v>
      </c>
      <c r="H21" s="160">
        <v>2</v>
      </c>
      <c r="I21" s="160">
        <v>17</v>
      </c>
      <c r="J21" s="160">
        <v>20</v>
      </c>
      <c r="K21" s="160">
        <v>5</v>
      </c>
      <c r="L21" s="160">
        <v>2</v>
      </c>
      <c r="M21" s="160">
        <v>14</v>
      </c>
      <c r="N21" s="160">
        <v>5</v>
      </c>
      <c r="O21" s="104" t="b">
        <v>0</v>
      </c>
      <c r="P21" s="547" t="str">
        <f t="shared" si="7"/>
        <v/>
      </c>
      <c r="Q21" s="32" t="str">
        <f t="shared" si="0"/>
        <v>Barnsley</v>
      </c>
      <c r="R21" s="32" t="str">
        <f t="shared" si="1"/>
        <v>Reading</v>
      </c>
      <c r="S21" s="31" t="str">
        <f t="shared" si="2"/>
        <v>3</v>
      </c>
      <c r="T21" s="32" t="str">
        <f t="shared" si="3"/>
        <v>2</v>
      </c>
      <c r="U21" s="27" t="str">
        <f t="shared" si="8"/>
        <v>Barnsley  v  Reading   17/20  5/2  14/5</v>
      </c>
      <c r="V21" s="30" t="str">
        <f t="shared" si="9"/>
        <v xml:space="preserve">Barnsley 3-2 Reading </v>
      </c>
      <c r="W21" t="str">
        <f t="shared" si="10"/>
        <v>17/20  5/2  14/5</v>
      </c>
      <c r="X21" s="17" t="str">
        <f t="shared" si="4"/>
        <v>17/20</v>
      </c>
      <c r="Y21" s="17" t="str">
        <f t="shared" si="5"/>
        <v>5/2</v>
      </c>
      <c r="Z21" s="17" t="str">
        <f t="shared" si="6"/>
        <v>14/5</v>
      </c>
      <c r="AA21" s="169">
        <f t="shared" si="11"/>
        <v>1.85</v>
      </c>
      <c r="AB21" s="169">
        <f t="shared" si="12"/>
        <v>3.5</v>
      </c>
      <c r="AC21" s="169">
        <f t="shared" si="13"/>
        <v>3.8</v>
      </c>
      <c r="AD21" s="11"/>
      <c r="AH21" s="11"/>
    </row>
    <row r="22" spans="1:34">
      <c r="A22" s="545">
        <v>21</v>
      </c>
      <c r="B22" s="25">
        <v>45913</v>
      </c>
      <c r="C22" s="160">
        <v>12</v>
      </c>
      <c r="D22" s="25" t="s">
        <v>608</v>
      </c>
      <c r="E22" s="25" t="s">
        <v>558</v>
      </c>
      <c r="F22" s="25" t="s">
        <v>553</v>
      </c>
      <c r="G22" s="160">
        <v>3</v>
      </c>
      <c r="H22" s="160">
        <v>1</v>
      </c>
      <c r="I22" s="160">
        <v>7</v>
      </c>
      <c r="J22" s="160">
        <v>5</v>
      </c>
      <c r="K22" s="160">
        <v>11</v>
      </c>
      <c r="L22" s="160">
        <v>5</v>
      </c>
      <c r="M22" s="160">
        <v>9</v>
      </c>
      <c r="N22" s="160">
        <v>5</v>
      </c>
      <c r="O22" s="105" t="b">
        <v>0</v>
      </c>
      <c r="P22" s="547" t="str">
        <f t="shared" si="7"/>
        <v/>
      </c>
      <c r="Q22" s="32" t="str">
        <f t="shared" si="0"/>
        <v>Bradford</v>
      </c>
      <c r="R22" s="32" t="str">
        <f t="shared" si="1"/>
        <v>Huddersfield</v>
      </c>
      <c r="S22" s="31" t="str">
        <f t="shared" si="2"/>
        <v>3</v>
      </c>
      <c r="T22" s="32" t="str">
        <f t="shared" si="3"/>
        <v>1</v>
      </c>
      <c r="U22" s="27" t="str">
        <f t="shared" si="8"/>
        <v>Bradford  v  Huddersfield   7/5  11/5  9/5</v>
      </c>
      <c r="V22" s="30" t="str">
        <f t="shared" si="9"/>
        <v xml:space="preserve">Bradford 3-1 Huddersfield </v>
      </c>
      <c r="W22" t="str">
        <f t="shared" si="10"/>
        <v>7/5  11/5  9/5</v>
      </c>
      <c r="X22" s="17" t="str">
        <f t="shared" si="4"/>
        <v>7/5</v>
      </c>
      <c r="Y22" s="17" t="str">
        <f t="shared" si="5"/>
        <v>11/5</v>
      </c>
      <c r="Z22" s="17" t="str">
        <f t="shared" si="6"/>
        <v>9/5</v>
      </c>
      <c r="AA22" s="169">
        <f t="shared" si="11"/>
        <v>2.4</v>
      </c>
      <c r="AB22" s="169">
        <f t="shared" si="12"/>
        <v>3.2</v>
      </c>
      <c r="AC22" s="169">
        <f t="shared" si="13"/>
        <v>2.8</v>
      </c>
      <c r="AD22" s="11"/>
      <c r="AH22" s="11"/>
    </row>
    <row r="23" spans="1:34">
      <c r="A23" s="545">
        <v>22</v>
      </c>
      <c r="B23" s="25">
        <v>45913</v>
      </c>
      <c r="C23" s="160">
        <v>12</v>
      </c>
      <c r="D23" s="25" t="s">
        <v>608</v>
      </c>
      <c r="E23" s="25" t="s">
        <v>611</v>
      </c>
      <c r="F23" s="25" t="s">
        <v>556</v>
      </c>
      <c r="G23" s="160">
        <v>0</v>
      </c>
      <c r="H23" s="160">
        <v>1</v>
      </c>
      <c r="I23" s="160">
        <v>19</v>
      </c>
      <c r="J23" s="160">
        <v>10</v>
      </c>
      <c r="K23" s="160">
        <v>2</v>
      </c>
      <c r="L23" s="160">
        <v>1</v>
      </c>
      <c r="M23" s="160">
        <v>7</v>
      </c>
      <c r="N23" s="160">
        <v>5</v>
      </c>
      <c r="O23" s="104" t="b">
        <v>0</v>
      </c>
      <c r="P23" s="547" t="str">
        <f t="shared" si="7"/>
        <v/>
      </c>
      <c r="Q23" s="32" t="str">
        <f t="shared" si="0"/>
        <v>Burton</v>
      </c>
      <c r="R23" s="32" t="str">
        <f t="shared" si="1"/>
        <v>Lincoln</v>
      </c>
      <c r="S23" s="31" t="str">
        <f t="shared" si="2"/>
        <v>0</v>
      </c>
      <c r="T23" s="32" t="str">
        <f t="shared" si="3"/>
        <v>1</v>
      </c>
      <c r="U23" s="27" t="str">
        <f t="shared" si="8"/>
        <v>Burton  v  Lincoln   19/10  2/1  7/5</v>
      </c>
      <c r="V23" s="30" t="str">
        <f t="shared" si="9"/>
        <v xml:space="preserve">Burton 0-1 Lincoln </v>
      </c>
      <c r="W23" t="str">
        <f t="shared" si="10"/>
        <v>19/10  2/1  7/5</v>
      </c>
      <c r="X23" s="17" t="str">
        <f t="shared" si="4"/>
        <v>19/10</v>
      </c>
      <c r="Y23" s="17" t="str">
        <f t="shared" si="5"/>
        <v>2/1</v>
      </c>
      <c r="Z23" s="17" t="str">
        <f t="shared" si="6"/>
        <v>7/5</v>
      </c>
      <c r="AA23" s="169">
        <f t="shared" si="11"/>
        <v>2.9</v>
      </c>
      <c r="AB23" s="169">
        <f t="shared" si="12"/>
        <v>3</v>
      </c>
      <c r="AC23" s="169">
        <f t="shared" si="13"/>
        <v>2.4</v>
      </c>
      <c r="AD23" s="11"/>
      <c r="AH23" s="11"/>
    </row>
    <row r="24" spans="1:34">
      <c r="A24" s="545">
        <v>23</v>
      </c>
      <c r="B24" s="25">
        <v>45913</v>
      </c>
      <c r="C24" s="160">
        <v>12</v>
      </c>
      <c r="D24" s="25" t="s">
        <v>608</v>
      </c>
      <c r="E24" s="25" t="s">
        <v>552</v>
      </c>
      <c r="F24" s="25" t="s">
        <v>544</v>
      </c>
      <c r="G24" s="160">
        <v>0</v>
      </c>
      <c r="H24" s="160">
        <v>2</v>
      </c>
      <c r="I24" s="160">
        <v>7</v>
      </c>
      <c r="J24" s="160">
        <v>4</v>
      </c>
      <c r="K24" s="160">
        <v>21</v>
      </c>
      <c r="L24" s="160">
        <v>10</v>
      </c>
      <c r="M24" s="160">
        <v>6</v>
      </c>
      <c r="N24" s="160">
        <v>4</v>
      </c>
      <c r="O24" s="104" t="b">
        <v>0</v>
      </c>
      <c r="P24" s="547" t="str">
        <f t="shared" si="7"/>
        <v/>
      </c>
      <c r="Q24" s="32" t="str">
        <f t="shared" si="0"/>
        <v>Exeter</v>
      </c>
      <c r="R24" s="32" t="str">
        <f t="shared" si="1"/>
        <v>Port Vale</v>
      </c>
      <c r="S24" s="31" t="str">
        <f t="shared" si="2"/>
        <v>0</v>
      </c>
      <c r="T24" s="32" t="str">
        <f t="shared" si="3"/>
        <v>2</v>
      </c>
      <c r="U24" s="27" t="str">
        <f t="shared" si="8"/>
        <v>Exeter  v  Port Vale   7/4  21/10  6/4</v>
      </c>
      <c r="V24" s="30" t="str">
        <f t="shared" si="9"/>
        <v xml:space="preserve">Exeter 0-2 Port Vale </v>
      </c>
      <c r="W24" t="str">
        <f t="shared" si="10"/>
        <v>7/4  21/10  6/4</v>
      </c>
      <c r="X24" s="17" t="str">
        <f t="shared" si="4"/>
        <v>7/4</v>
      </c>
      <c r="Y24" s="17" t="str">
        <f t="shared" si="5"/>
        <v>21/10</v>
      </c>
      <c r="Z24" s="17" t="str">
        <f t="shared" si="6"/>
        <v>6/4</v>
      </c>
      <c r="AA24" s="169">
        <f t="shared" si="11"/>
        <v>2.75</v>
      </c>
      <c r="AB24" s="169">
        <f t="shared" si="12"/>
        <v>3.1</v>
      </c>
      <c r="AC24" s="169">
        <f t="shared" si="13"/>
        <v>2.5</v>
      </c>
      <c r="AD24" s="11"/>
      <c r="AH24" s="11"/>
    </row>
    <row r="25" spans="1:34">
      <c r="A25" s="545">
        <v>24</v>
      </c>
      <c r="B25" s="25">
        <v>45913</v>
      </c>
      <c r="C25" s="160">
        <v>12</v>
      </c>
      <c r="D25" s="25" t="s">
        <v>608</v>
      </c>
      <c r="E25" s="25" t="s">
        <v>612</v>
      </c>
      <c r="F25" s="25" t="s">
        <v>549</v>
      </c>
      <c r="G25" s="160">
        <v>2</v>
      </c>
      <c r="H25" s="160">
        <v>3</v>
      </c>
      <c r="I25" s="160">
        <v>1</v>
      </c>
      <c r="J25" s="160">
        <v>2</v>
      </c>
      <c r="K25" s="160">
        <v>3</v>
      </c>
      <c r="L25" s="160">
        <v>1</v>
      </c>
      <c r="M25" s="160">
        <v>5</v>
      </c>
      <c r="N25" s="160">
        <v>1</v>
      </c>
      <c r="O25" s="104" t="b">
        <v>0</v>
      </c>
      <c r="P25" s="547" t="str">
        <f t="shared" si="7"/>
        <v/>
      </c>
      <c r="Q25" s="32" t="str">
        <f t="shared" si="0"/>
        <v>Luton</v>
      </c>
      <c r="R25" s="32" t="str">
        <f t="shared" si="1"/>
        <v>Plymouth</v>
      </c>
      <c r="S25" s="31" t="str">
        <f t="shared" si="2"/>
        <v>2</v>
      </c>
      <c r="T25" s="32" t="str">
        <f t="shared" si="3"/>
        <v>3</v>
      </c>
      <c r="U25" s="27" t="str">
        <f t="shared" si="8"/>
        <v>Luton  v  Plymouth   1/2  3/1  5/1</v>
      </c>
      <c r="V25" s="30" t="str">
        <f t="shared" si="9"/>
        <v xml:space="preserve">Luton 2-3 Plymouth </v>
      </c>
      <c r="W25" t="str">
        <f t="shared" si="10"/>
        <v>1/2  3/1  5/1</v>
      </c>
      <c r="X25" s="17" t="str">
        <f t="shared" si="4"/>
        <v>1/2</v>
      </c>
      <c r="Y25" s="17" t="str">
        <f t="shared" si="5"/>
        <v>3/1</v>
      </c>
      <c r="Z25" s="17" t="str">
        <f t="shared" si="6"/>
        <v>5/1</v>
      </c>
      <c r="AA25" s="169">
        <f t="shared" si="11"/>
        <v>1.5</v>
      </c>
      <c r="AB25" s="169">
        <f t="shared" si="12"/>
        <v>4</v>
      </c>
      <c r="AC25" s="169">
        <f t="shared" si="13"/>
        <v>6</v>
      </c>
      <c r="AD25" s="11"/>
      <c r="AH25" s="11"/>
    </row>
    <row r="26" spans="1:34">
      <c r="A26" s="545">
        <v>25</v>
      </c>
      <c r="B26" s="25">
        <v>45913</v>
      </c>
      <c r="C26" s="160">
        <v>12</v>
      </c>
      <c r="D26" s="25" t="s">
        <v>608</v>
      </c>
      <c r="E26" s="25" t="s">
        <v>564</v>
      </c>
      <c r="F26" s="25" t="s">
        <v>613</v>
      </c>
      <c r="G26" s="160">
        <v>1</v>
      </c>
      <c r="H26" s="160">
        <v>1</v>
      </c>
      <c r="I26" s="160">
        <v>6</v>
      </c>
      <c r="J26" s="160">
        <v>4</v>
      </c>
      <c r="K26" s="160">
        <v>2</v>
      </c>
      <c r="L26" s="160">
        <v>1</v>
      </c>
      <c r="M26" s="160">
        <v>9</v>
      </c>
      <c r="N26" s="160">
        <v>5</v>
      </c>
      <c r="O26" s="105" t="b">
        <v>0</v>
      </c>
      <c r="P26" s="547" t="str">
        <f t="shared" si="7"/>
        <v/>
      </c>
      <c r="Q26" s="32" t="str">
        <f t="shared" si="0"/>
        <v>Mansfield</v>
      </c>
      <c r="R26" s="32" t="str">
        <f t="shared" si="1"/>
        <v>Stevenage</v>
      </c>
      <c r="S26" s="31" t="str">
        <f t="shared" si="2"/>
        <v>1</v>
      </c>
      <c r="T26" s="32" t="str">
        <f t="shared" si="3"/>
        <v>1</v>
      </c>
      <c r="U26" s="27" t="str">
        <f t="shared" si="8"/>
        <v>Mansfield  v  Stevenage   6/4  2/1  9/5</v>
      </c>
      <c r="V26" s="30" t="str">
        <f t="shared" si="9"/>
        <v xml:space="preserve">Mansfield 1-1 Stevenage </v>
      </c>
      <c r="W26" t="str">
        <f t="shared" si="10"/>
        <v>6/4  2/1  9/5</v>
      </c>
      <c r="X26" s="17" t="str">
        <f t="shared" si="4"/>
        <v>6/4</v>
      </c>
      <c r="Y26" s="17" t="str">
        <f t="shared" si="5"/>
        <v>2/1</v>
      </c>
      <c r="Z26" s="17" t="str">
        <f t="shared" si="6"/>
        <v>9/5</v>
      </c>
      <c r="AA26" s="169">
        <f t="shared" si="11"/>
        <v>2.5</v>
      </c>
      <c r="AB26" s="169">
        <f t="shared" si="12"/>
        <v>3</v>
      </c>
      <c r="AC26" s="169">
        <f t="shared" si="13"/>
        <v>2.8</v>
      </c>
      <c r="AD26" s="11"/>
      <c r="AH26" s="11"/>
    </row>
    <row r="27" spans="1:34">
      <c r="A27" s="545">
        <v>26</v>
      </c>
      <c r="B27" s="25">
        <v>45913</v>
      </c>
      <c r="C27" s="160">
        <v>12</v>
      </c>
      <c r="D27" s="25" t="s">
        <v>608</v>
      </c>
      <c r="E27" s="25" t="s">
        <v>614</v>
      </c>
      <c r="F27" s="25" t="s">
        <v>615</v>
      </c>
      <c r="G27" s="160">
        <v>1</v>
      </c>
      <c r="H27" s="160">
        <v>0</v>
      </c>
      <c r="I27" s="160">
        <v>13</v>
      </c>
      <c r="J27" s="160">
        <v>8</v>
      </c>
      <c r="K27" s="160">
        <v>21</v>
      </c>
      <c r="L27" s="160">
        <v>10</v>
      </c>
      <c r="M27" s="160">
        <v>13</v>
      </c>
      <c r="N27" s="160">
        <v>8</v>
      </c>
      <c r="O27" s="104" t="b">
        <v>0</v>
      </c>
      <c r="P27" s="547" t="str">
        <f t="shared" si="7"/>
        <v/>
      </c>
      <c r="Q27" s="32" t="str">
        <f t="shared" si="0"/>
        <v>Northampton</v>
      </c>
      <c r="R27" s="32" t="str">
        <f t="shared" si="1"/>
        <v>Blackpool</v>
      </c>
      <c r="S27" s="31" t="str">
        <f t="shared" si="2"/>
        <v>1</v>
      </c>
      <c r="T27" s="32" t="str">
        <f t="shared" si="3"/>
        <v>0</v>
      </c>
      <c r="U27" s="27" t="str">
        <f t="shared" si="8"/>
        <v>Northampton  v  Blackpool   13/8  21/10  13/8</v>
      </c>
      <c r="V27" s="30" t="str">
        <f t="shared" si="9"/>
        <v xml:space="preserve">Northampton 1-0 Blackpool </v>
      </c>
      <c r="W27" t="str">
        <f t="shared" si="10"/>
        <v>13/8  21/10  13/8</v>
      </c>
      <c r="X27" s="17" t="str">
        <f t="shared" si="4"/>
        <v>13/8</v>
      </c>
      <c r="Y27" s="17" t="str">
        <f t="shared" si="5"/>
        <v>21/10</v>
      </c>
      <c r="Z27" s="17" t="str">
        <f t="shared" si="6"/>
        <v>13/8</v>
      </c>
      <c r="AA27" s="169">
        <f t="shared" si="11"/>
        <v>2.625</v>
      </c>
      <c r="AB27" s="169">
        <f t="shared" si="12"/>
        <v>3.1</v>
      </c>
      <c r="AC27" s="169">
        <f t="shared" si="13"/>
        <v>2.625</v>
      </c>
      <c r="AD27" s="11"/>
      <c r="AH27" s="11"/>
    </row>
    <row r="28" spans="1:34">
      <c r="A28" s="545">
        <v>27</v>
      </c>
      <c r="B28" s="25">
        <v>45913</v>
      </c>
      <c r="C28" s="160">
        <v>12</v>
      </c>
      <c r="D28" s="25" t="s">
        <v>608</v>
      </c>
      <c r="E28" s="21" t="s">
        <v>554</v>
      </c>
      <c r="F28" s="25" t="s">
        <v>555</v>
      </c>
      <c r="G28" s="160">
        <v>1</v>
      </c>
      <c r="H28" s="160">
        <v>1</v>
      </c>
      <c r="I28" s="160">
        <v>19</v>
      </c>
      <c r="J28" s="160">
        <v>10</v>
      </c>
      <c r="K28" s="160">
        <v>23</v>
      </c>
      <c r="L28" s="160">
        <v>10</v>
      </c>
      <c r="M28" s="160">
        <v>13</v>
      </c>
      <c r="N28" s="160">
        <v>10</v>
      </c>
      <c r="O28" s="105" t="b">
        <v>0</v>
      </c>
      <c r="P28" s="547" t="str">
        <f t="shared" si="7"/>
        <v/>
      </c>
      <c r="Q28" s="32" t="str">
        <f t="shared" si="0"/>
        <v>Orient</v>
      </c>
      <c r="R28" s="32" t="str">
        <f t="shared" si="1"/>
        <v>Bolton</v>
      </c>
      <c r="S28" s="31" t="str">
        <f t="shared" si="2"/>
        <v>1</v>
      </c>
      <c r="T28" s="32" t="str">
        <f t="shared" si="3"/>
        <v>1</v>
      </c>
      <c r="U28" s="27" t="str">
        <f t="shared" si="8"/>
        <v>Orient  v  Bolton   19/10  23/10  13/10</v>
      </c>
      <c r="V28" s="30" t="str">
        <f t="shared" si="9"/>
        <v xml:space="preserve">Orient 1-1 Bolton </v>
      </c>
      <c r="W28" t="str">
        <f t="shared" si="10"/>
        <v>19/10  23/10  13/10</v>
      </c>
      <c r="X28" s="17" t="str">
        <f t="shared" si="4"/>
        <v>19/10</v>
      </c>
      <c r="Y28" s="17" t="str">
        <f t="shared" si="5"/>
        <v>23/10</v>
      </c>
      <c r="Z28" s="17" t="str">
        <f t="shared" si="6"/>
        <v>13/10</v>
      </c>
      <c r="AA28" s="169">
        <f t="shared" si="11"/>
        <v>2.9</v>
      </c>
      <c r="AB28" s="169">
        <f t="shared" si="12"/>
        <v>3.3</v>
      </c>
      <c r="AC28" s="169">
        <f t="shared" si="13"/>
        <v>2.2999999999999998</v>
      </c>
      <c r="AD28" s="11"/>
      <c r="AH28" s="11"/>
    </row>
    <row r="29" spans="1:34">
      <c r="A29" s="545">
        <v>28</v>
      </c>
      <c r="B29" s="25">
        <v>45913</v>
      </c>
      <c r="C29" s="160">
        <v>12</v>
      </c>
      <c r="D29" s="25" t="s">
        <v>608</v>
      </c>
      <c r="E29" s="25" t="s">
        <v>616</v>
      </c>
      <c r="F29" s="25" t="s">
        <v>410</v>
      </c>
      <c r="G29" s="160">
        <v>2</v>
      </c>
      <c r="H29" s="160">
        <v>1</v>
      </c>
      <c r="I29" s="160">
        <v>21</v>
      </c>
      <c r="J29" s="160">
        <v>10</v>
      </c>
      <c r="K29" s="160">
        <v>23</v>
      </c>
      <c r="L29" s="160">
        <v>10</v>
      </c>
      <c r="M29" s="160">
        <v>23</v>
      </c>
      <c r="N29" s="160">
        <v>20</v>
      </c>
      <c r="O29" s="105" t="b">
        <v>0</v>
      </c>
      <c r="P29" s="547" t="str">
        <f t="shared" si="7"/>
        <v/>
      </c>
      <c r="Q29" s="32" t="str">
        <f t="shared" si="0"/>
        <v>Peterbro</v>
      </c>
      <c r="R29" s="32" t="str">
        <f t="shared" si="1"/>
        <v>Wycombe</v>
      </c>
      <c r="S29" s="31" t="str">
        <f t="shared" si="2"/>
        <v>2</v>
      </c>
      <c r="T29" s="32" t="str">
        <f t="shared" si="3"/>
        <v>1</v>
      </c>
      <c r="U29" s="27" t="str">
        <f t="shared" si="8"/>
        <v>Peterbro  v  Wycombe   21/10  23/10  23/20</v>
      </c>
      <c r="V29" s="30" t="str">
        <f t="shared" si="9"/>
        <v xml:space="preserve">Peterbro 2-1 Wycombe </v>
      </c>
      <c r="W29" t="str">
        <f t="shared" si="10"/>
        <v>21/10  23/10  23/20</v>
      </c>
      <c r="X29" s="17" t="str">
        <f t="shared" si="4"/>
        <v>21/10</v>
      </c>
      <c r="Y29" s="17" t="str">
        <f t="shared" si="5"/>
        <v>23/10</v>
      </c>
      <c r="Z29" s="17" t="str">
        <f t="shared" si="6"/>
        <v>23/20</v>
      </c>
      <c r="AA29" s="169">
        <f t="shared" si="11"/>
        <v>3.1</v>
      </c>
      <c r="AB29" s="169">
        <f t="shared" si="12"/>
        <v>3.3</v>
      </c>
      <c r="AC29" s="169">
        <f t="shared" si="13"/>
        <v>2.15</v>
      </c>
      <c r="AD29" s="11"/>
      <c r="AH29" s="11"/>
    </row>
    <row r="30" spans="1:34">
      <c r="A30" s="545">
        <v>29</v>
      </c>
      <c r="B30" s="25">
        <v>45913</v>
      </c>
      <c r="C30" s="160">
        <v>12</v>
      </c>
      <c r="D30" s="25" t="s">
        <v>608</v>
      </c>
      <c r="E30" s="25" t="s">
        <v>535</v>
      </c>
      <c r="F30" s="25" t="s">
        <v>617</v>
      </c>
      <c r="G30" s="160">
        <v>1</v>
      </c>
      <c r="H30" s="160">
        <v>1</v>
      </c>
      <c r="I30" s="160">
        <v>13</v>
      </c>
      <c r="J30" s="160">
        <v>8</v>
      </c>
      <c r="K30" s="160">
        <v>11</v>
      </c>
      <c r="L30" s="160">
        <v>5</v>
      </c>
      <c r="M30" s="160">
        <v>6</v>
      </c>
      <c r="N30" s="160">
        <v>4</v>
      </c>
      <c r="O30" s="104" t="b">
        <v>0</v>
      </c>
      <c r="P30" s="547" t="str">
        <f t="shared" si="7"/>
        <v/>
      </c>
      <c r="Q30" s="32" t="str">
        <f t="shared" si="0"/>
        <v>Stockport</v>
      </c>
      <c r="R30" s="32" t="str">
        <f t="shared" si="1"/>
        <v>Cardiff</v>
      </c>
      <c r="S30" s="31" t="str">
        <f t="shared" si="2"/>
        <v>1</v>
      </c>
      <c r="T30" s="32" t="str">
        <f t="shared" si="3"/>
        <v>1</v>
      </c>
      <c r="U30" s="27" t="str">
        <f t="shared" si="8"/>
        <v>Stockport  v  Cardiff   13/8  11/5  6/4</v>
      </c>
      <c r="V30" s="30" t="str">
        <f t="shared" si="9"/>
        <v xml:space="preserve">Stockport 1-1 Cardiff </v>
      </c>
      <c r="W30" t="str">
        <f t="shared" si="10"/>
        <v>13/8  11/5  6/4</v>
      </c>
      <c r="X30" s="17" t="str">
        <f t="shared" si="4"/>
        <v>13/8</v>
      </c>
      <c r="Y30" s="17" t="str">
        <f t="shared" si="5"/>
        <v>11/5</v>
      </c>
      <c r="Z30" s="17" t="str">
        <f t="shared" si="6"/>
        <v>6/4</v>
      </c>
      <c r="AA30" s="169">
        <f t="shared" si="11"/>
        <v>2.625</v>
      </c>
      <c r="AB30" s="169">
        <f t="shared" si="12"/>
        <v>3.2</v>
      </c>
      <c r="AC30" s="169">
        <f t="shared" si="13"/>
        <v>2.5</v>
      </c>
      <c r="AD30" s="11"/>
      <c r="AH30" s="11"/>
    </row>
    <row r="31" spans="1:34">
      <c r="A31" s="545">
        <v>30</v>
      </c>
      <c r="B31" s="25">
        <v>45913</v>
      </c>
      <c r="C31" s="160">
        <v>12</v>
      </c>
      <c r="D31" s="25" t="s">
        <v>608</v>
      </c>
      <c r="E31" s="25" t="s">
        <v>339</v>
      </c>
      <c r="F31" s="25" t="s">
        <v>398</v>
      </c>
      <c r="G31" s="160">
        <v>3</v>
      </c>
      <c r="H31" s="160">
        <v>0</v>
      </c>
      <c r="I31" s="160">
        <v>8</v>
      </c>
      <c r="J31" s="160">
        <v>5</v>
      </c>
      <c r="K31" s="160">
        <v>2</v>
      </c>
      <c r="L31" s="160">
        <v>1</v>
      </c>
      <c r="M31" s="160">
        <v>7</v>
      </c>
      <c r="N31" s="160">
        <v>4</v>
      </c>
      <c r="O31" s="104" t="b">
        <v>0</v>
      </c>
      <c r="P31" s="547" t="str">
        <f t="shared" si="7"/>
        <v/>
      </c>
      <c r="Q31" s="32" t="str">
        <f t="shared" si="0"/>
        <v>Wigan</v>
      </c>
      <c r="R31" s="32" t="str">
        <f t="shared" si="1"/>
        <v>Doncaster</v>
      </c>
      <c r="S31" s="31" t="str">
        <f t="shared" si="2"/>
        <v>3</v>
      </c>
      <c r="T31" s="32" t="str">
        <f t="shared" si="3"/>
        <v>0</v>
      </c>
      <c r="U31" s="27" t="str">
        <f t="shared" si="8"/>
        <v>Wigan  v  Doncaster   8/5  2/1  7/4</v>
      </c>
      <c r="V31" s="30" t="str">
        <f t="shared" si="9"/>
        <v xml:space="preserve">Wigan 3-0 Doncaster </v>
      </c>
      <c r="W31" t="str">
        <f t="shared" si="10"/>
        <v>8/5  2/1  7/4</v>
      </c>
      <c r="X31" s="17" t="str">
        <f t="shared" si="4"/>
        <v>8/5</v>
      </c>
      <c r="Y31" s="17" t="str">
        <f t="shared" si="5"/>
        <v>2/1</v>
      </c>
      <c r="Z31" s="17" t="str">
        <f t="shared" si="6"/>
        <v>7/4</v>
      </c>
      <c r="AA31" s="169">
        <f t="shared" si="11"/>
        <v>2.6</v>
      </c>
      <c r="AB31" s="169">
        <f t="shared" si="12"/>
        <v>3</v>
      </c>
      <c r="AC31" s="169">
        <f t="shared" si="13"/>
        <v>2.75</v>
      </c>
      <c r="AD31" s="11"/>
      <c r="AH31" s="11"/>
    </row>
    <row r="32" spans="1:34">
      <c r="A32" s="545">
        <v>31</v>
      </c>
      <c r="B32" s="25">
        <v>45913</v>
      </c>
      <c r="C32" s="160">
        <v>12</v>
      </c>
      <c r="D32" s="25" t="s">
        <v>608</v>
      </c>
      <c r="E32" s="25" t="s">
        <v>618</v>
      </c>
      <c r="F32" s="25" t="s">
        <v>547</v>
      </c>
      <c r="G32" s="160">
        <v>2</v>
      </c>
      <c r="H32" s="160">
        <v>1</v>
      </c>
      <c r="I32" s="160">
        <v>23</v>
      </c>
      <c r="J32" s="160">
        <v>20</v>
      </c>
      <c r="K32" s="160">
        <v>21</v>
      </c>
      <c r="L32" s="160">
        <v>10</v>
      </c>
      <c r="M32" s="160">
        <v>13</v>
      </c>
      <c r="N32" s="160">
        <v>8</v>
      </c>
      <c r="O32" s="104" t="b">
        <v>0</v>
      </c>
      <c r="P32" s="547" t="str">
        <f t="shared" si="7"/>
        <v/>
      </c>
      <c r="Q32" s="32" t="str">
        <f t="shared" si="0"/>
        <v>Wimbledon</v>
      </c>
      <c r="R32" s="32" t="str">
        <f t="shared" si="1"/>
        <v>Rotherham</v>
      </c>
      <c r="S32" s="31" t="str">
        <f t="shared" si="2"/>
        <v>2</v>
      </c>
      <c r="T32" s="32" t="str">
        <f t="shared" si="3"/>
        <v>1</v>
      </c>
      <c r="U32" s="27" t="str">
        <f t="shared" si="8"/>
        <v>Wimbledon  v  Rotherham   23/20  21/10  13/8</v>
      </c>
      <c r="V32" s="30" t="str">
        <f t="shared" si="9"/>
        <v xml:space="preserve">Wimbledon 2-1 Rotherham </v>
      </c>
      <c r="W32" t="str">
        <f t="shared" si="10"/>
        <v>23/20  21/10  13/8</v>
      </c>
      <c r="X32" s="17" t="str">
        <f t="shared" si="4"/>
        <v>23/20</v>
      </c>
      <c r="Y32" s="17" t="str">
        <f t="shared" si="5"/>
        <v>21/10</v>
      </c>
      <c r="Z32" s="17" t="str">
        <f t="shared" si="6"/>
        <v>13/8</v>
      </c>
      <c r="AA32" s="169">
        <f t="shared" si="11"/>
        <v>2.15</v>
      </c>
      <c r="AB32" s="169">
        <f t="shared" si="12"/>
        <v>3.1</v>
      </c>
      <c r="AC32" s="169">
        <f t="shared" si="13"/>
        <v>2.625</v>
      </c>
      <c r="AD32" s="11"/>
      <c r="AH32" s="11"/>
    </row>
    <row r="33" spans="1:34">
      <c r="A33" s="545">
        <v>32</v>
      </c>
      <c r="B33" s="25">
        <v>45913</v>
      </c>
      <c r="C33" s="160">
        <v>13</v>
      </c>
      <c r="D33" s="25" t="s">
        <v>619</v>
      </c>
      <c r="E33" s="25" t="s">
        <v>620</v>
      </c>
      <c r="F33" s="21" t="s">
        <v>621</v>
      </c>
      <c r="G33" s="160">
        <v>1</v>
      </c>
      <c r="H33" s="160">
        <v>0</v>
      </c>
      <c r="I33" s="160">
        <v>9</v>
      </c>
      <c r="J33" s="160">
        <v>5</v>
      </c>
      <c r="K33" s="160">
        <v>2</v>
      </c>
      <c r="L33" s="160">
        <v>1</v>
      </c>
      <c r="M33" s="160">
        <v>6</v>
      </c>
      <c r="N33" s="160">
        <v>4</v>
      </c>
      <c r="O33" s="105" t="b">
        <v>0</v>
      </c>
      <c r="P33" s="547" t="str">
        <f t="shared" si="7"/>
        <v/>
      </c>
      <c r="Q33" s="32" t="str">
        <f t="shared" ref="Q33:Q47" si="14">TRIM(E33)</f>
        <v>Accrington</v>
      </c>
      <c r="R33" s="32" t="str">
        <f t="shared" ref="R33:R47" si="15">TRIM(F33)</f>
        <v>Colchester</v>
      </c>
      <c r="S33" s="31" t="str">
        <f t="shared" ref="S33:S47" si="16">TRIM(G33)</f>
        <v>1</v>
      </c>
      <c r="T33" s="32" t="str">
        <f t="shared" ref="T33:T47" si="17">TRIM(H33)</f>
        <v>0</v>
      </c>
      <c r="U33" s="27" t="str">
        <f t="shared" si="8"/>
        <v>Accrington  v  Colchester   9/5  2/1  6/4</v>
      </c>
      <c r="V33" s="30" t="str">
        <f t="shared" si="9"/>
        <v xml:space="preserve">Accrington 1-0 Colchester </v>
      </c>
      <c r="W33" t="str">
        <f t="shared" si="10"/>
        <v>9/5  2/1  6/4</v>
      </c>
      <c r="X33" s="17" t="str">
        <f t="shared" ref="X33:X47" si="18">CONCATENATE(I33,"/",J33)</f>
        <v>9/5</v>
      </c>
      <c r="Y33" s="17" t="str">
        <f t="shared" ref="Y33:Y47" si="19">CONCATENATE(K33,"/",L33)</f>
        <v>2/1</v>
      </c>
      <c r="Z33" s="17" t="str">
        <f t="shared" ref="Z33:Z47" si="20">CONCATENATE(M33,"/",N33)</f>
        <v>6/4</v>
      </c>
      <c r="AA33" s="169">
        <f t="shared" si="11"/>
        <v>2.8</v>
      </c>
      <c r="AB33" s="169">
        <f t="shared" si="12"/>
        <v>3</v>
      </c>
      <c r="AC33" s="169">
        <f t="shared" si="13"/>
        <v>2.5</v>
      </c>
      <c r="AD33" s="11"/>
      <c r="AH33" s="11"/>
    </row>
    <row r="34" spans="1:34">
      <c r="A34" s="545">
        <v>33</v>
      </c>
      <c r="B34" s="25">
        <v>45913</v>
      </c>
      <c r="C34" s="160">
        <v>13</v>
      </c>
      <c r="D34" s="25" t="s">
        <v>619</v>
      </c>
      <c r="E34" s="25" t="s">
        <v>550</v>
      </c>
      <c r="F34" s="25" t="s">
        <v>622</v>
      </c>
      <c r="G34" s="160">
        <v>2</v>
      </c>
      <c r="H34" s="160">
        <v>1</v>
      </c>
      <c r="I34" s="160">
        <v>1</v>
      </c>
      <c r="J34" s="160">
        <v>1</v>
      </c>
      <c r="K34" s="160">
        <v>21</v>
      </c>
      <c r="L34" s="160">
        <v>10</v>
      </c>
      <c r="M34" s="160">
        <v>14</v>
      </c>
      <c r="N34" s="160">
        <v>5</v>
      </c>
      <c r="O34" s="105" t="b">
        <v>0</v>
      </c>
      <c r="P34" s="547" t="str">
        <f t="shared" si="7"/>
        <v/>
      </c>
      <c r="Q34" s="32" t="str">
        <f t="shared" si="14"/>
        <v>Bristol R</v>
      </c>
      <c r="R34" s="32" t="str">
        <f t="shared" si="15"/>
        <v>Barrow</v>
      </c>
      <c r="S34" s="31" t="str">
        <f t="shared" si="16"/>
        <v>2</v>
      </c>
      <c r="T34" s="32" t="str">
        <f t="shared" si="17"/>
        <v>1</v>
      </c>
      <c r="U34" s="27" t="str">
        <f t="shared" si="8"/>
        <v>Bristol R  v  Barrow   1/1  21/10  14/5</v>
      </c>
      <c r="V34" s="30" t="str">
        <f t="shared" si="9"/>
        <v xml:space="preserve">Bristol R 2-1 Barrow </v>
      </c>
      <c r="W34" t="str">
        <f t="shared" si="10"/>
        <v>1/1  21/10  14/5</v>
      </c>
      <c r="X34" s="17" t="str">
        <f t="shared" si="18"/>
        <v>1/1</v>
      </c>
      <c r="Y34" s="17" t="str">
        <f t="shared" si="19"/>
        <v>21/10</v>
      </c>
      <c r="Z34" s="17" t="str">
        <f t="shared" si="20"/>
        <v>14/5</v>
      </c>
      <c r="AA34" s="169">
        <f t="shared" si="11"/>
        <v>2</v>
      </c>
      <c r="AB34" s="169">
        <f t="shared" si="12"/>
        <v>3.1</v>
      </c>
      <c r="AC34" s="169">
        <f t="shared" si="13"/>
        <v>3.8</v>
      </c>
      <c r="AD34" s="11"/>
      <c r="AH34" s="11"/>
    </row>
    <row r="35" spans="1:34">
      <c r="A35" s="545">
        <v>34</v>
      </c>
      <c r="B35" s="25">
        <v>45913</v>
      </c>
      <c r="C35" s="160">
        <v>13</v>
      </c>
      <c r="D35" s="25" t="s">
        <v>619</v>
      </c>
      <c r="E35" s="25" t="s">
        <v>557</v>
      </c>
      <c r="F35" s="25" t="s">
        <v>538</v>
      </c>
      <c r="G35" s="160">
        <v>1</v>
      </c>
      <c r="H35" s="160">
        <v>1</v>
      </c>
      <c r="I35" s="160">
        <v>23</v>
      </c>
      <c r="J35" s="160">
        <v>20</v>
      </c>
      <c r="K35" s="160">
        <v>11</v>
      </c>
      <c r="L35" s="160">
        <v>5</v>
      </c>
      <c r="M35" s="160">
        <v>9</v>
      </c>
      <c r="N35" s="160">
        <v>4</v>
      </c>
      <c r="O35" s="105" t="b">
        <v>0</v>
      </c>
      <c r="P35" s="547" t="str">
        <f t="shared" si="7"/>
        <v/>
      </c>
      <c r="Q35" s="32" t="str">
        <f t="shared" si="14"/>
        <v>Chesterfield</v>
      </c>
      <c r="R35" s="32" t="str">
        <f t="shared" si="15"/>
        <v>MK Dons</v>
      </c>
      <c r="S35" s="31" t="str">
        <f t="shared" si="16"/>
        <v>1</v>
      </c>
      <c r="T35" s="32" t="str">
        <f t="shared" si="17"/>
        <v>1</v>
      </c>
      <c r="U35" s="27" t="str">
        <f t="shared" si="8"/>
        <v>Chesterfield  v  MK Dons   23/20  11/5  9/4</v>
      </c>
      <c r="V35" s="30" t="str">
        <f t="shared" si="9"/>
        <v xml:space="preserve">Chesterfield 1-1 MK Dons </v>
      </c>
      <c r="W35" t="str">
        <f t="shared" si="10"/>
        <v>23/20  11/5  9/4</v>
      </c>
      <c r="X35" s="17" t="str">
        <f t="shared" si="18"/>
        <v>23/20</v>
      </c>
      <c r="Y35" s="17" t="str">
        <f t="shared" si="19"/>
        <v>11/5</v>
      </c>
      <c r="Z35" s="17" t="str">
        <f t="shared" si="20"/>
        <v>9/4</v>
      </c>
      <c r="AA35" s="169">
        <f t="shared" si="11"/>
        <v>2.15</v>
      </c>
      <c r="AB35" s="169">
        <f t="shared" si="12"/>
        <v>3.2</v>
      </c>
      <c r="AC35" s="169">
        <f t="shared" si="13"/>
        <v>3.25</v>
      </c>
      <c r="AD35" s="11"/>
      <c r="AH35" s="11"/>
    </row>
    <row r="36" spans="1:34">
      <c r="A36" s="545">
        <v>35</v>
      </c>
      <c r="B36" s="25">
        <v>45913</v>
      </c>
      <c r="C36" s="160">
        <v>13</v>
      </c>
      <c r="D36" s="25" t="s">
        <v>619</v>
      </c>
      <c r="E36" s="25" t="s">
        <v>623</v>
      </c>
      <c r="F36" s="25" t="s">
        <v>624</v>
      </c>
      <c r="G36" s="160">
        <v>2</v>
      </c>
      <c r="H36" s="160">
        <v>0</v>
      </c>
      <c r="I36" s="160">
        <v>10</v>
      </c>
      <c r="J36" s="160">
        <v>11</v>
      </c>
      <c r="K36" s="160">
        <v>23</v>
      </c>
      <c r="L36" s="160">
        <v>10</v>
      </c>
      <c r="M36" s="160">
        <v>14</v>
      </c>
      <c r="N36" s="160">
        <v>5</v>
      </c>
      <c r="O36" s="105" t="b">
        <v>0</v>
      </c>
      <c r="P36" s="547" t="str">
        <f t="shared" si="7"/>
        <v/>
      </c>
      <c r="Q36" s="32" t="str">
        <f t="shared" si="14"/>
        <v>Crawley</v>
      </c>
      <c r="R36" s="32" t="str">
        <f t="shared" si="15"/>
        <v>Cheltenham</v>
      </c>
      <c r="S36" s="31" t="str">
        <f t="shared" si="16"/>
        <v>2</v>
      </c>
      <c r="T36" s="32" t="str">
        <f t="shared" si="17"/>
        <v>0</v>
      </c>
      <c r="U36" s="27" t="str">
        <f t="shared" si="8"/>
        <v>Crawley  v  Cheltenham   10/11  23/10  14/5</v>
      </c>
      <c r="V36" s="30" t="str">
        <f t="shared" si="9"/>
        <v xml:space="preserve">Crawley 2-0 Cheltenham </v>
      </c>
      <c r="W36" t="str">
        <f t="shared" si="10"/>
        <v>10/11  23/10  14/5</v>
      </c>
      <c r="X36" s="17" t="str">
        <f t="shared" si="18"/>
        <v>10/11</v>
      </c>
      <c r="Y36" s="17" t="str">
        <f t="shared" si="19"/>
        <v>23/10</v>
      </c>
      <c r="Z36" s="17" t="str">
        <f t="shared" si="20"/>
        <v>14/5</v>
      </c>
      <c r="AA36" s="169">
        <f t="shared" si="11"/>
        <v>1.9090909090909092</v>
      </c>
      <c r="AB36" s="169">
        <f t="shared" si="12"/>
        <v>3.3</v>
      </c>
      <c r="AC36" s="169">
        <f t="shared" si="13"/>
        <v>3.8</v>
      </c>
      <c r="AD36" s="11"/>
      <c r="AH36" s="11"/>
    </row>
    <row r="37" spans="1:34">
      <c r="A37" s="545">
        <v>36</v>
      </c>
      <c r="B37" s="25">
        <v>45913</v>
      </c>
      <c r="C37" s="160">
        <v>13</v>
      </c>
      <c r="D37" s="21" t="s">
        <v>619</v>
      </c>
      <c r="E37" s="25" t="s">
        <v>563</v>
      </c>
      <c r="F37" s="25" t="s">
        <v>573</v>
      </c>
      <c r="G37" s="160">
        <v>1</v>
      </c>
      <c r="H37" s="160">
        <v>2</v>
      </c>
      <c r="I37" s="160">
        <v>6</v>
      </c>
      <c r="J37" s="160">
        <v>4</v>
      </c>
      <c r="K37" s="160">
        <v>9</v>
      </c>
      <c r="L37" s="160">
        <v>4</v>
      </c>
      <c r="M37" s="160">
        <v>13</v>
      </c>
      <c r="N37" s="160">
        <v>8</v>
      </c>
      <c r="O37" s="105" t="b">
        <v>0</v>
      </c>
      <c r="P37" s="547" t="str">
        <f t="shared" si="7"/>
        <v/>
      </c>
      <c r="Q37" s="32" t="str">
        <f t="shared" si="14"/>
        <v>Crewe</v>
      </c>
      <c r="R37" s="32" t="str">
        <f t="shared" si="15"/>
        <v>Barnet</v>
      </c>
      <c r="S37" s="31" t="str">
        <f t="shared" si="16"/>
        <v>1</v>
      </c>
      <c r="T37" s="32" t="str">
        <f t="shared" si="17"/>
        <v>2</v>
      </c>
      <c r="U37" s="27" t="str">
        <f t="shared" si="8"/>
        <v>Crewe  v  Barnet   6/4  9/4  13/8</v>
      </c>
      <c r="V37" s="30" t="str">
        <f t="shared" si="9"/>
        <v xml:space="preserve">Crewe 1-2 Barnet </v>
      </c>
      <c r="W37" t="str">
        <f t="shared" si="10"/>
        <v>6/4  9/4  13/8</v>
      </c>
      <c r="X37" s="17" t="str">
        <f t="shared" si="18"/>
        <v>6/4</v>
      </c>
      <c r="Y37" s="17" t="str">
        <f t="shared" si="19"/>
        <v>9/4</v>
      </c>
      <c r="Z37" s="17" t="str">
        <f t="shared" si="20"/>
        <v>13/8</v>
      </c>
      <c r="AA37" s="169">
        <f t="shared" si="11"/>
        <v>2.5</v>
      </c>
      <c r="AB37" s="169">
        <f t="shared" si="12"/>
        <v>3.25</v>
      </c>
      <c r="AC37" s="169">
        <f t="shared" si="13"/>
        <v>2.625</v>
      </c>
      <c r="AD37" s="11"/>
      <c r="AH37" s="11"/>
    </row>
    <row r="38" spans="1:34">
      <c r="A38" s="545">
        <v>37</v>
      </c>
      <c r="B38" s="25">
        <v>45913</v>
      </c>
      <c r="C38" s="160">
        <v>13</v>
      </c>
      <c r="D38" s="25" t="s">
        <v>619</v>
      </c>
      <c r="E38" s="25" t="s">
        <v>625</v>
      </c>
      <c r="F38" s="25" t="s">
        <v>546</v>
      </c>
      <c r="G38" s="160">
        <v>1</v>
      </c>
      <c r="H38" s="160">
        <v>1</v>
      </c>
      <c r="I38" s="160">
        <v>7</v>
      </c>
      <c r="J38" s="160">
        <v>4</v>
      </c>
      <c r="K38" s="160">
        <v>21</v>
      </c>
      <c r="L38" s="160">
        <v>10</v>
      </c>
      <c r="M38" s="160">
        <v>6</v>
      </c>
      <c r="N38" s="160">
        <v>4</v>
      </c>
      <c r="O38" s="104" t="b">
        <v>0</v>
      </c>
      <c r="P38" s="547" t="str">
        <f t="shared" si="7"/>
        <v/>
      </c>
      <c r="Q38" s="32" t="str">
        <f t="shared" si="14"/>
        <v>Fleetwood</v>
      </c>
      <c r="R38" s="32" t="str">
        <f t="shared" si="15"/>
        <v>Walsall</v>
      </c>
      <c r="S38" s="31" t="str">
        <f t="shared" si="16"/>
        <v>1</v>
      </c>
      <c r="T38" s="32" t="str">
        <f t="shared" si="17"/>
        <v>1</v>
      </c>
      <c r="U38" s="27" t="str">
        <f t="shared" si="8"/>
        <v>Fleetwood  v  Walsall   7/4  21/10  6/4</v>
      </c>
      <c r="V38" s="30" t="str">
        <f t="shared" si="9"/>
        <v xml:space="preserve">Fleetwood 1-1 Walsall </v>
      </c>
      <c r="W38" t="str">
        <f t="shared" si="10"/>
        <v>7/4  21/10  6/4</v>
      </c>
      <c r="X38" s="17" t="str">
        <f t="shared" si="18"/>
        <v>7/4</v>
      </c>
      <c r="Y38" s="17" t="str">
        <f t="shared" si="19"/>
        <v>21/10</v>
      </c>
      <c r="Z38" s="17" t="str">
        <f t="shared" si="20"/>
        <v>6/4</v>
      </c>
      <c r="AA38" s="169">
        <f t="shared" si="11"/>
        <v>2.75</v>
      </c>
      <c r="AB38" s="169">
        <f t="shared" si="12"/>
        <v>3.1</v>
      </c>
      <c r="AC38" s="169">
        <f t="shared" si="13"/>
        <v>2.5</v>
      </c>
      <c r="AD38" s="11"/>
      <c r="AH38" s="11"/>
    </row>
    <row r="39" spans="1:34">
      <c r="A39" s="545">
        <v>38</v>
      </c>
      <c r="B39" s="25">
        <v>45913</v>
      </c>
      <c r="C39" s="160">
        <v>13</v>
      </c>
      <c r="D39" s="25" t="s">
        <v>619</v>
      </c>
      <c r="E39" s="25" t="s">
        <v>559</v>
      </c>
      <c r="F39" s="25" t="s">
        <v>562</v>
      </c>
      <c r="G39" s="160">
        <v>1</v>
      </c>
      <c r="H39" s="160">
        <v>0</v>
      </c>
      <c r="I39" s="160">
        <v>13</v>
      </c>
      <c r="J39" s="160">
        <v>10</v>
      </c>
      <c r="K39" s="160">
        <v>2</v>
      </c>
      <c r="L39" s="160">
        <v>1</v>
      </c>
      <c r="M39" s="160">
        <v>2</v>
      </c>
      <c r="N39" s="160">
        <v>1</v>
      </c>
      <c r="O39" s="104" t="b">
        <v>0</v>
      </c>
      <c r="P39" s="547" t="str">
        <f t="shared" si="7"/>
        <v/>
      </c>
      <c r="Q39" s="32" t="str">
        <f t="shared" si="14"/>
        <v>Gillingham</v>
      </c>
      <c r="R39" s="32" t="str">
        <f t="shared" si="15"/>
        <v>Notts Co</v>
      </c>
      <c r="S39" s="31" t="str">
        <f t="shared" si="16"/>
        <v>1</v>
      </c>
      <c r="T39" s="32" t="str">
        <f t="shared" si="17"/>
        <v>0</v>
      </c>
      <c r="U39" s="27" t="str">
        <f t="shared" si="8"/>
        <v>Gillingham  v  Notts Co   13/10  2/1  2/1</v>
      </c>
      <c r="V39" s="30" t="str">
        <f t="shared" si="9"/>
        <v xml:space="preserve">Gillingham 1-0 Notts Co </v>
      </c>
      <c r="W39" t="str">
        <f t="shared" si="10"/>
        <v>13/10  2/1  2/1</v>
      </c>
      <c r="X39" s="17" t="str">
        <f t="shared" si="18"/>
        <v>13/10</v>
      </c>
      <c r="Y39" s="17" t="str">
        <f t="shared" si="19"/>
        <v>2/1</v>
      </c>
      <c r="Z39" s="17" t="str">
        <f t="shared" si="20"/>
        <v>2/1</v>
      </c>
      <c r="AA39" s="169">
        <f t="shared" si="11"/>
        <v>2.2999999999999998</v>
      </c>
      <c r="AB39" s="169">
        <f t="shared" si="12"/>
        <v>3</v>
      </c>
      <c r="AC39" s="169">
        <f t="shared" si="13"/>
        <v>3</v>
      </c>
      <c r="AD39" s="11"/>
      <c r="AH39" s="11"/>
    </row>
    <row r="40" spans="1:34">
      <c r="A40" s="545">
        <v>39</v>
      </c>
      <c r="B40" s="25">
        <v>45913</v>
      </c>
      <c r="C40" s="160">
        <v>13</v>
      </c>
      <c r="D40" s="25" t="s">
        <v>619</v>
      </c>
      <c r="E40" s="25" t="s">
        <v>626</v>
      </c>
      <c r="F40" s="25" t="s">
        <v>551</v>
      </c>
      <c r="G40" s="160">
        <v>1</v>
      </c>
      <c r="H40" s="160">
        <v>1</v>
      </c>
      <c r="I40" s="160">
        <v>23</v>
      </c>
      <c r="J40" s="160">
        <v>20</v>
      </c>
      <c r="K40" s="160">
        <v>11</v>
      </c>
      <c r="L40" s="160">
        <v>5</v>
      </c>
      <c r="M40" s="160">
        <v>11</v>
      </c>
      <c r="N40" s="160">
        <v>5</v>
      </c>
      <c r="O40" s="105" t="b">
        <v>0</v>
      </c>
      <c r="P40" s="547" t="str">
        <f t="shared" si="7"/>
        <v/>
      </c>
      <c r="Q40" s="32" t="str">
        <f t="shared" si="14"/>
        <v>Grimsby</v>
      </c>
      <c r="R40" s="32" t="str">
        <f t="shared" si="15"/>
        <v>Cambridge</v>
      </c>
      <c r="S40" s="31" t="str">
        <f t="shared" si="16"/>
        <v>1</v>
      </c>
      <c r="T40" s="32" t="str">
        <f t="shared" si="17"/>
        <v>1</v>
      </c>
      <c r="U40" s="27" t="str">
        <f t="shared" si="8"/>
        <v>Grimsby  v  Cambridge   23/20  11/5  11/5</v>
      </c>
      <c r="V40" s="30" t="str">
        <f t="shared" si="9"/>
        <v xml:space="preserve">Grimsby 1-1 Cambridge </v>
      </c>
      <c r="W40" t="str">
        <f t="shared" si="10"/>
        <v>23/20  11/5  11/5</v>
      </c>
      <c r="X40" s="17" t="str">
        <f t="shared" si="18"/>
        <v>23/20</v>
      </c>
      <c r="Y40" s="17" t="str">
        <f t="shared" si="19"/>
        <v>11/5</v>
      </c>
      <c r="Z40" s="17" t="str">
        <f t="shared" si="20"/>
        <v>11/5</v>
      </c>
      <c r="AA40" s="169">
        <f t="shared" si="11"/>
        <v>2.15</v>
      </c>
      <c r="AB40" s="169">
        <f t="shared" si="12"/>
        <v>3.2</v>
      </c>
      <c r="AC40" s="169">
        <f t="shared" si="13"/>
        <v>3.2</v>
      </c>
      <c r="AD40" s="11"/>
      <c r="AH40" s="11"/>
    </row>
    <row r="41" spans="1:34">
      <c r="A41" s="545">
        <v>40</v>
      </c>
      <c r="B41" s="25">
        <v>45913</v>
      </c>
      <c r="C41" s="160">
        <v>13</v>
      </c>
      <c r="D41" s="25" t="s">
        <v>619</v>
      </c>
      <c r="E41" s="25" t="s">
        <v>627</v>
      </c>
      <c r="F41" s="25" t="s">
        <v>545</v>
      </c>
      <c r="G41" s="160">
        <v>1</v>
      </c>
      <c r="H41" s="160">
        <v>0</v>
      </c>
      <c r="I41" s="160">
        <v>6</v>
      </c>
      <c r="J41" s="160">
        <v>4</v>
      </c>
      <c r="K41" s="160">
        <v>21</v>
      </c>
      <c r="L41" s="160">
        <v>10</v>
      </c>
      <c r="M41" s="160">
        <v>7</v>
      </c>
      <c r="N41" s="160">
        <v>4</v>
      </c>
      <c r="O41" s="105" t="b">
        <v>0</v>
      </c>
      <c r="P41" s="547" t="str">
        <f t="shared" si="7"/>
        <v/>
      </c>
      <c r="Q41" s="32" t="str">
        <f t="shared" si="14"/>
        <v>Oldham</v>
      </c>
      <c r="R41" s="32" t="str">
        <f t="shared" si="15"/>
        <v>Bromley</v>
      </c>
      <c r="S41" s="31" t="str">
        <f t="shared" si="16"/>
        <v>1</v>
      </c>
      <c r="T41" s="32" t="str">
        <f t="shared" si="17"/>
        <v>0</v>
      </c>
      <c r="U41" s="27" t="str">
        <f t="shared" si="8"/>
        <v>Oldham  v  Bromley   6/4  21/10  7/4</v>
      </c>
      <c r="V41" s="30" t="str">
        <f t="shared" si="9"/>
        <v xml:space="preserve">Oldham 1-0 Bromley </v>
      </c>
      <c r="W41" t="str">
        <f t="shared" si="10"/>
        <v>6/4  21/10  7/4</v>
      </c>
      <c r="X41" s="17" t="str">
        <f t="shared" si="18"/>
        <v>6/4</v>
      </c>
      <c r="Y41" s="17" t="str">
        <f t="shared" si="19"/>
        <v>21/10</v>
      </c>
      <c r="Z41" s="17" t="str">
        <f t="shared" si="20"/>
        <v>7/4</v>
      </c>
      <c r="AA41" s="169">
        <f t="shared" si="11"/>
        <v>2.5</v>
      </c>
      <c r="AB41" s="169">
        <f t="shared" si="12"/>
        <v>3.1</v>
      </c>
      <c r="AC41" s="169">
        <f t="shared" si="13"/>
        <v>2.75</v>
      </c>
      <c r="AD41" s="11"/>
      <c r="AH41" s="11"/>
    </row>
    <row r="42" spans="1:34">
      <c r="A42" s="545">
        <v>41</v>
      </c>
      <c r="B42" s="25">
        <v>45913</v>
      </c>
      <c r="C42" s="160">
        <v>13</v>
      </c>
      <c r="D42" s="25" t="s">
        <v>619</v>
      </c>
      <c r="E42" s="25" t="s">
        <v>628</v>
      </c>
      <c r="F42" s="25" t="s">
        <v>548</v>
      </c>
      <c r="G42" s="160">
        <v>1</v>
      </c>
      <c r="H42" s="160">
        <v>3</v>
      </c>
      <c r="I42" s="160">
        <v>17</v>
      </c>
      <c r="J42" s="160">
        <v>10</v>
      </c>
      <c r="K42" s="160">
        <v>21</v>
      </c>
      <c r="L42" s="160">
        <v>10</v>
      </c>
      <c r="M42" s="160">
        <v>6</v>
      </c>
      <c r="N42" s="160">
        <v>4</v>
      </c>
      <c r="O42" s="105" t="b">
        <v>0</v>
      </c>
      <c r="P42" s="547" t="str">
        <f t="shared" si="7"/>
        <v/>
      </c>
      <c r="Q42" s="32" t="str">
        <f t="shared" si="14"/>
        <v>Shrewsbury</v>
      </c>
      <c r="R42" s="32" t="str">
        <f t="shared" si="15"/>
        <v>Salford</v>
      </c>
      <c r="S42" s="31" t="str">
        <f t="shared" si="16"/>
        <v>1</v>
      </c>
      <c r="T42" s="32" t="str">
        <f t="shared" si="17"/>
        <v>3</v>
      </c>
      <c r="U42" s="27" t="str">
        <f t="shared" si="8"/>
        <v>Shrewsbury  v  Salford   17/10  21/10  6/4</v>
      </c>
      <c r="V42" s="30" t="str">
        <f t="shared" si="9"/>
        <v xml:space="preserve">Shrewsbury 1-3 Salford </v>
      </c>
      <c r="W42" t="str">
        <f t="shared" si="10"/>
        <v>17/10  21/10  6/4</v>
      </c>
      <c r="X42" s="17" t="str">
        <f t="shared" si="18"/>
        <v>17/10</v>
      </c>
      <c r="Y42" s="17" t="str">
        <f t="shared" si="19"/>
        <v>21/10</v>
      </c>
      <c r="Z42" s="17" t="str">
        <f t="shared" si="20"/>
        <v>6/4</v>
      </c>
      <c r="AA42" s="169">
        <f t="shared" si="11"/>
        <v>2.7</v>
      </c>
      <c r="AB42" s="169">
        <f t="shared" si="12"/>
        <v>3.1</v>
      </c>
      <c r="AC42" s="169">
        <f t="shared" si="13"/>
        <v>2.5</v>
      </c>
      <c r="AD42" s="11"/>
      <c r="AH42" s="11"/>
    </row>
    <row r="43" spans="1:34">
      <c r="A43" s="545">
        <v>42</v>
      </c>
      <c r="B43" s="25">
        <v>45913</v>
      </c>
      <c r="C43" s="160">
        <v>13</v>
      </c>
      <c r="D43" s="25" t="s">
        <v>619</v>
      </c>
      <c r="E43" s="25" t="s">
        <v>560</v>
      </c>
      <c r="F43" s="21" t="s">
        <v>561</v>
      </c>
      <c r="G43" s="160">
        <v>3</v>
      </c>
      <c r="H43" s="160">
        <v>1</v>
      </c>
      <c r="I43" s="160">
        <v>4</v>
      </c>
      <c r="J43" s="160">
        <v>6</v>
      </c>
      <c r="K43" s="160">
        <v>5</v>
      </c>
      <c r="L43" s="160">
        <v>2</v>
      </c>
      <c r="M43" s="160">
        <v>7</v>
      </c>
      <c r="N43" s="160">
        <v>2</v>
      </c>
      <c r="O43" s="105" t="b">
        <v>0</v>
      </c>
      <c r="P43" s="547" t="str">
        <f t="shared" si="7"/>
        <v/>
      </c>
      <c r="Q43" s="32" t="str">
        <f t="shared" si="14"/>
        <v>Swindon</v>
      </c>
      <c r="R43" s="32" t="str">
        <f t="shared" si="15"/>
        <v>Harrogate</v>
      </c>
      <c r="S43" s="31" t="str">
        <f t="shared" si="16"/>
        <v>3</v>
      </c>
      <c r="T43" s="32" t="str">
        <f t="shared" si="17"/>
        <v>1</v>
      </c>
      <c r="U43" s="27" t="str">
        <f t="shared" si="8"/>
        <v>Swindon  v  Harrogate   4/6  5/2  7/2</v>
      </c>
      <c r="V43" s="30" t="str">
        <f t="shared" si="9"/>
        <v xml:space="preserve">Swindon 3-1 Harrogate </v>
      </c>
      <c r="W43" t="str">
        <f t="shared" si="10"/>
        <v>4/6  5/2  7/2</v>
      </c>
      <c r="X43" s="17" t="str">
        <f t="shared" si="18"/>
        <v>4/6</v>
      </c>
      <c r="Y43" s="17" t="str">
        <f t="shared" si="19"/>
        <v>5/2</v>
      </c>
      <c r="Z43" s="17" t="str">
        <f t="shared" si="20"/>
        <v>7/2</v>
      </c>
      <c r="AA43" s="169">
        <f t="shared" si="11"/>
        <v>1.6666666666666665</v>
      </c>
      <c r="AB43" s="169">
        <f t="shared" si="12"/>
        <v>3.5</v>
      </c>
      <c r="AC43" s="169">
        <f t="shared" si="13"/>
        <v>4.5</v>
      </c>
      <c r="AD43" s="11"/>
      <c r="AH43" s="11"/>
    </row>
    <row r="44" spans="1:34">
      <c r="A44" s="545">
        <v>43</v>
      </c>
      <c r="B44" s="25">
        <v>45913</v>
      </c>
      <c r="C44" s="160">
        <v>13</v>
      </c>
      <c r="D44" s="25" t="s">
        <v>619</v>
      </c>
      <c r="E44" s="21" t="s">
        <v>629</v>
      </c>
      <c r="F44" s="21" t="s">
        <v>630</v>
      </c>
      <c r="G44" s="160">
        <v>1</v>
      </c>
      <c r="H44" s="160">
        <v>1</v>
      </c>
      <c r="I44" s="160">
        <v>8</v>
      </c>
      <c r="J44" s="160">
        <v>13</v>
      </c>
      <c r="K44" s="160">
        <v>5</v>
      </c>
      <c r="L44" s="160">
        <v>2</v>
      </c>
      <c r="M44" s="160">
        <v>4</v>
      </c>
      <c r="N44" s="160">
        <v>1</v>
      </c>
      <c r="O44" s="105" t="b">
        <v>0</v>
      </c>
      <c r="P44" s="547" t="str">
        <f t="shared" si="7"/>
        <v/>
      </c>
      <c r="Q44" s="32" t="str">
        <f t="shared" si="14"/>
        <v>Tranmere</v>
      </c>
      <c r="R44" s="32" t="str">
        <f t="shared" si="15"/>
        <v>Newport</v>
      </c>
      <c r="S44" s="31" t="str">
        <f t="shared" si="16"/>
        <v>1</v>
      </c>
      <c r="T44" s="32" t="str">
        <f t="shared" si="17"/>
        <v>1</v>
      </c>
      <c r="U44" s="27" t="str">
        <f t="shared" si="8"/>
        <v>Tranmere  v  Newport   8/13  5/2  4/1</v>
      </c>
      <c r="V44" s="30" t="str">
        <f t="shared" si="9"/>
        <v xml:space="preserve">Tranmere 1-1 Newport </v>
      </c>
      <c r="W44" t="str">
        <f t="shared" si="10"/>
        <v>8/13  5/2  4/1</v>
      </c>
      <c r="X44" s="17" t="str">
        <f t="shared" si="18"/>
        <v>8/13</v>
      </c>
      <c r="Y44" s="17" t="str">
        <f t="shared" si="19"/>
        <v>5/2</v>
      </c>
      <c r="Z44" s="17" t="str">
        <f t="shared" si="20"/>
        <v>4/1</v>
      </c>
      <c r="AA44" s="169">
        <f t="shared" si="11"/>
        <v>1.6153846153846154</v>
      </c>
      <c r="AB44" s="169">
        <f t="shared" si="12"/>
        <v>3.5</v>
      </c>
      <c r="AC44" s="169">
        <f t="shared" si="13"/>
        <v>5</v>
      </c>
      <c r="AD44" s="11"/>
      <c r="AH44" s="11"/>
    </row>
    <row r="45" spans="1:34">
      <c r="A45" s="545">
        <v>44</v>
      </c>
      <c r="B45" s="25">
        <v>45914</v>
      </c>
      <c r="C45" s="160">
        <v>10</v>
      </c>
      <c r="D45" s="25" t="s">
        <v>578</v>
      </c>
      <c r="E45" s="21" t="s">
        <v>631</v>
      </c>
      <c r="F45" s="21" t="s">
        <v>632</v>
      </c>
      <c r="G45" s="160">
        <v>0</v>
      </c>
      <c r="H45" s="160">
        <v>1</v>
      </c>
      <c r="I45" s="160">
        <v>17</v>
      </c>
      <c r="J45" s="160">
        <v>2</v>
      </c>
      <c r="K45" s="160">
        <v>4</v>
      </c>
      <c r="L45" s="160">
        <v>1</v>
      </c>
      <c r="M45" s="160">
        <v>3</v>
      </c>
      <c r="N45" s="160">
        <v>10</v>
      </c>
      <c r="O45" s="105" t="b">
        <v>0</v>
      </c>
      <c r="P45" s="547" t="str">
        <f t="shared" si="7"/>
        <v/>
      </c>
      <c r="Q45" s="32" t="str">
        <f t="shared" si="14"/>
        <v>Burnley</v>
      </c>
      <c r="R45" s="32" t="str">
        <f t="shared" si="15"/>
        <v>Liverpool</v>
      </c>
      <c r="S45" s="31" t="str">
        <f t="shared" si="16"/>
        <v>0</v>
      </c>
      <c r="T45" s="32" t="str">
        <f t="shared" si="17"/>
        <v>1</v>
      </c>
      <c r="U45" s="27" t="str">
        <f t="shared" si="8"/>
        <v>Burnley  v  Liverpool   17/2  4/1  3/10</v>
      </c>
      <c r="V45" s="30" t="str">
        <f t="shared" si="9"/>
        <v xml:space="preserve">Burnley 0-1 Liverpool </v>
      </c>
      <c r="W45" t="str">
        <f>X45&amp;"  "&amp;Y45&amp;"  "&amp;Z45</f>
        <v>17/2  4/1  3/10</v>
      </c>
      <c r="X45" s="17" t="str">
        <f t="shared" si="18"/>
        <v>17/2</v>
      </c>
      <c r="Y45" s="17" t="str">
        <f t="shared" si="19"/>
        <v>4/1</v>
      </c>
      <c r="Z45" s="17" t="str">
        <f t="shared" si="20"/>
        <v>3/10</v>
      </c>
      <c r="AA45" s="169">
        <f t="shared" si="11"/>
        <v>9.5</v>
      </c>
      <c r="AB45" s="169">
        <f t="shared" si="12"/>
        <v>5</v>
      </c>
      <c r="AC45" s="169">
        <f t="shared" si="13"/>
        <v>1.3</v>
      </c>
      <c r="AD45" s="11"/>
      <c r="AH45" s="11"/>
    </row>
    <row r="46" spans="1:34">
      <c r="A46" s="545">
        <v>45</v>
      </c>
      <c r="B46" s="25">
        <v>45914</v>
      </c>
      <c r="C46" s="160">
        <v>10</v>
      </c>
      <c r="D46" s="25" t="s">
        <v>578</v>
      </c>
      <c r="E46" s="25" t="s">
        <v>633</v>
      </c>
      <c r="F46" s="21" t="s">
        <v>634</v>
      </c>
      <c r="G46" s="160">
        <v>3</v>
      </c>
      <c r="H46" s="160">
        <v>0</v>
      </c>
      <c r="I46" s="160">
        <v>4</v>
      </c>
      <c r="J46" s="160">
        <v>6</v>
      </c>
      <c r="K46" s="160">
        <v>3</v>
      </c>
      <c r="L46" s="160">
        <v>1</v>
      </c>
      <c r="M46" s="160">
        <v>18</v>
      </c>
      <c r="N46" s="160">
        <v>5</v>
      </c>
      <c r="O46" s="105" t="b">
        <v>0</v>
      </c>
      <c r="P46" s="547" t="str">
        <f t="shared" si="7"/>
        <v/>
      </c>
      <c r="Q46" s="32" t="str">
        <f t="shared" si="14"/>
        <v>Man C</v>
      </c>
      <c r="R46" s="32" t="str">
        <f t="shared" si="15"/>
        <v>Man U</v>
      </c>
      <c r="S46" s="31" t="str">
        <f t="shared" si="16"/>
        <v>3</v>
      </c>
      <c r="T46" s="32" t="str">
        <f t="shared" si="17"/>
        <v>0</v>
      </c>
      <c r="U46" s="27" t="str">
        <f t="shared" si="8"/>
        <v>Man C  v  Man U   4/6  3/1  18/5</v>
      </c>
      <c r="V46" s="30" t="str">
        <f t="shared" si="9"/>
        <v xml:space="preserve">Man C 3-0 Man U </v>
      </c>
      <c r="W46" t="str">
        <f>X46&amp;"  "&amp;Y46&amp;"  "&amp;Z46</f>
        <v>4/6  3/1  18/5</v>
      </c>
      <c r="X46" s="17" t="str">
        <f t="shared" si="18"/>
        <v>4/6</v>
      </c>
      <c r="Y46" s="17" t="str">
        <f t="shared" si="19"/>
        <v>3/1</v>
      </c>
      <c r="Z46" s="17" t="str">
        <f t="shared" si="20"/>
        <v>18/5</v>
      </c>
      <c r="AA46" s="169">
        <f t="shared" si="11"/>
        <v>1.6666666666666665</v>
      </c>
      <c r="AB46" s="169">
        <f t="shared" si="12"/>
        <v>4</v>
      </c>
      <c r="AC46" s="169">
        <f t="shared" si="13"/>
        <v>4.5999999999999996</v>
      </c>
    </row>
    <row r="47" spans="1:34">
      <c r="A47" s="545">
        <v>46</v>
      </c>
      <c r="B47" s="25">
        <v>45914</v>
      </c>
      <c r="C47" s="160">
        <v>11</v>
      </c>
      <c r="D47" s="25" t="s">
        <v>576</v>
      </c>
      <c r="E47" s="25" t="s">
        <v>635</v>
      </c>
      <c r="F47" s="21" t="s">
        <v>399</v>
      </c>
      <c r="G47" s="160">
        <v>0</v>
      </c>
      <c r="H47" s="160">
        <v>0</v>
      </c>
      <c r="I47" s="160">
        <v>7</v>
      </c>
      <c r="J47" s="160">
        <v>10</v>
      </c>
      <c r="K47" s="160">
        <v>27</v>
      </c>
      <c r="L47" s="160">
        <v>10</v>
      </c>
      <c r="M47" s="160">
        <v>18</v>
      </c>
      <c r="N47" s="160">
        <v>5</v>
      </c>
      <c r="O47" s="105" t="b">
        <v>0</v>
      </c>
      <c r="P47" s="547" t="str">
        <f t="shared" si="7"/>
        <v/>
      </c>
      <c r="Q47" s="32" t="str">
        <f t="shared" si="14"/>
        <v>Southampton</v>
      </c>
      <c r="R47" s="32" t="str">
        <f t="shared" si="15"/>
        <v>Portsmouth</v>
      </c>
      <c r="S47" s="31" t="str">
        <f t="shared" si="16"/>
        <v>0</v>
      </c>
      <c r="T47" s="32" t="str">
        <f t="shared" si="17"/>
        <v>0</v>
      </c>
      <c r="U47" s="27" t="str">
        <f t="shared" si="8"/>
        <v>Southampton  v  Portsmouth   7/10  27/10  18/5</v>
      </c>
      <c r="V47" s="30" t="str">
        <f t="shared" si="9"/>
        <v xml:space="preserve">Southampton 0-0 Portsmouth </v>
      </c>
      <c r="W47" t="str">
        <f>X47&amp;"  "&amp;Y47&amp;"  "&amp;Z47</f>
        <v>7/10  27/10  18/5</v>
      </c>
      <c r="X47" s="17" t="str">
        <f t="shared" si="18"/>
        <v>7/10</v>
      </c>
      <c r="Y47" s="17" t="str">
        <f t="shared" si="19"/>
        <v>27/10</v>
      </c>
      <c r="Z47" s="17" t="str">
        <f t="shared" si="20"/>
        <v>18/5</v>
      </c>
      <c r="AA47" s="169">
        <f t="shared" si="11"/>
        <v>1.7</v>
      </c>
      <c r="AB47" s="169">
        <f t="shared" si="12"/>
        <v>3.7</v>
      </c>
      <c r="AC47" s="169">
        <f t="shared" si="13"/>
        <v>4.5999999999999996</v>
      </c>
    </row>
    <row r="48" spans="1:34">
      <c r="A48" s="545">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45">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45">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45">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45">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45">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45">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45">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45">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45">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45">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45">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45">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45">
        <v>14</v>
      </c>
      <c r="U61" s="27" t="str">
        <f t="shared" si="8"/>
        <v/>
      </c>
    </row>
    <row r="62" spans="1:29">
      <c r="A62" s="545">
        <v>15</v>
      </c>
      <c r="U62" s="27" t="str">
        <f t="shared" si="8"/>
        <v/>
      </c>
    </row>
    <row r="63" spans="1:29">
      <c r="A63" s="545">
        <v>16</v>
      </c>
      <c r="U63" s="27" t="str">
        <f t="shared" si="8"/>
        <v/>
      </c>
    </row>
    <row r="64" spans="1:29">
      <c r="A64" s="545">
        <v>17</v>
      </c>
      <c r="U64" s="27" t="str">
        <f t="shared" si="8"/>
        <v/>
      </c>
    </row>
    <row r="65" spans="1:21">
      <c r="A65" s="545">
        <v>18</v>
      </c>
      <c r="U65" s="27" t="str">
        <f t="shared" si="8"/>
        <v/>
      </c>
    </row>
    <row r="66" spans="1:21">
      <c r="A66" s="545">
        <v>19</v>
      </c>
      <c r="U66" s="27" t="str">
        <f t="shared" si="8"/>
        <v/>
      </c>
    </row>
    <row r="67" spans="1:21">
      <c r="A67" s="545">
        <v>20</v>
      </c>
      <c r="U67" s="27" t="str">
        <f t="shared" ref="U67:U80" si="34">IF(B67="","",IF(O67=TRUE,Q67&amp;"  v  "&amp;R67&amp;"  OFF",Q67&amp;"  v  "&amp;R67&amp;"   "&amp;W67))</f>
        <v/>
      </c>
    </row>
    <row r="68" spans="1:21">
      <c r="A68" s="545">
        <v>21</v>
      </c>
      <c r="U68" s="27" t="str">
        <f t="shared" si="34"/>
        <v/>
      </c>
    </row>
    <row r="69" spans="1:21">
      <c r="A69" s="545">
        <v>22</v>
      </c>
      <c r="U69" s="27" t="str">
        <f t="shared" si="34"/>
        <v/>
      </c>
    </row>
    <row r="70" spans="1:21">
      <c r="A70" s="545">
        <v>23</v>
      </c>
      <c r="U70" s="27" t="str">
        <f t="shared" si="34"/>
        <v/>
      </c>
    </row>
    <row r="71" spans="1:21">
      <c r="A71" s="545">
        <v>24</v>
      </c>
      <c r="U71" s="27" t="str">
        <f t="shared" si="34"/>
        <v/>
      </c>
    </row>
    <row r="72" spans="1:21">
      <c r="A72" s="545">
        <v>25</v>
      </c>
      <c r="U72" s="27" t="str">
        <f t="shared" si="34"/>
        <v/>
      </c>
    </row>
    <row r="73" spans="1:21">
      <c r="A73" s="545">
        <v>26</v>
      </c>
      <c r="U73" s="27" t="str">
        <f t="shared" si="34"/>
        <v/>
      </c>
    </row>
    <row r="74" spans="1:21">
      <c r="A74" s="545">
        <v>27</v>
      </c>
      <c r="U74" s="27" t="str">
        <f t="shared" si="34"/>
        <v/>
      </c>
    </row>
    <row r="75" spans="1:21">
      <c r="A75" s="545">
        <v>28</v>
      </c>
      <c r="U75" s="27" t="str">
        <f t="shared" si="34"/>
        <v/>
      </c>
    </row>
    <row r="76" spans="1:21">
      <c r="A76" s="545">
        <v>29</v>
      </c>
      <c r="U76" s="27" t="str">
        <f t="shared" si="34"/>
        <v/>
      </c>
    </row>
    <row r="77" spans="1:21">
      <c r="A77" s="545">
        <v>30</v>
      </c>
      <c r="U77" s="27" t="str">
        <f t="shared" si="34"/>
        <v/>
      </c>
    </row>
    <row r="78" spans="1:21">
      <c r="A78" s="545">
        <v>31</v>
      </c>
      <c r="U78" s="27" t="str">
        <f t="shared" si="34"/>
        <v/>
      </c>
    </row>
    <row r="79" spans="1:21">
      <c r="A79" s="545">
        <v>32</v>
      </c>
      <c r="U79" s="27" t="str">
        <f t="shared" si="34"/>
        <v/>
      </c>
    </row>
    <row r="80" spans="1:21">
      <c r="A80" s="545">
        <v>33</v>
      </c>
      <c r="U80" s="27" t="str">
        <f t="shared" si="34"/>
        <v/>
      </c>
    </row>
    <row r="81" spans="1:1">
      <c r="A81" s="545">
        <v>34</v>
      </c>
    </row>
    <row r="82" spans="1:1">
      <c r="A82" s="545">
        <v>35</v>
      </c>
    </row>
    <row r="83" spans="1:1">
      <c r="A83" s="545">
        <v>36</v>
      </c>
    </row>
    <row r="84" spans="1:1">
      <c r="A84" s="545">
        <v>37</v>
      </c>
    </row>
    <row r="85" spans="1:1">
      <c r="A85" s="545">
        <v>38</v>
      </c>
    </row>
    <row r="86" spans="1:1">
      <c r="A86" s="545">
        <v>39</v>
      </c>
    </row>
    <row r="87" spans="1:1">
      <c r="A87" s="545">
        <v>40</v>
      </c>
    </row>
    <row r="88" spans="1:1">
      <c r="A88" s="545">
        <v>41</v>
      </c>
    </row>
    <row r="89" spans="1:1">
      <c r="A89" s="545">
        <v>42</v>
      </c>
    </row>
    <row r="90" spans="1:1">
      <c r="A90" s="545">
        <v>43</v>
      </c>
    </row>
    <row r="91" spans="1:1">
      <c r="A91" s="545">
        <v>44</v>
      </c>
    </row>
    <row r="92" spans="1:1">
      <c r="A92" s="545">
        <v>45</v>
      </c>
    </row>
    <row r="93" spans="1:1">
      <c r="A93" s="545">
        <v>46</v>
      </c>
    </row>
    <row r="94" spans="1:1">
      <c r="A94" s="545">
        <v>1</v>
      </c>
    </row>
    <row r="95" spans="1:1">
      <c r="A95" s="545">
        <v>2</v>
      </c>
    </row>
    <row r="96" spans="1:1">
      <c r="A96" s="545">
        <v>3</v>
      </c>
    </row>
    <row r="97" spans="1:1">
      <c r="A97" s="545">
        <v>4</v>
      </c>
    </row>
    <row r="98" spans="1:1">
      <c r="A98" s="545">
        <v>5</v>
      </c>
    </row>
    <row r="99" spans="1:1">
      <c r="A99" s="545">
        <v>6</v>
      </c>
    </row>
    <row r="100" spans="1:1">
      <c r="A100" s="545">
        <v>7</v>
      </c>
    </row>
    <row r="101" spans="1:1">
      <c r="A101" s="545">
        <v>8</v>
      </c>
    </row>
    <row r="102" spans="1:1">
      <c r="A102" s="545">
        <v>9</v>
      </c>
    </row>
    <row r="103" spans="1:1">
      <c r="A103" s="545">
        <v>10</v>
      </c>
    </row>
    <row r="104" spans="1:1">
      <c r="A104" s="545">
        <v>11</v>
      </c>
    </row>
    <row r="105" spans="1:1">
      <c r="A105" s="545">
        <v>12</v>
      </c>
    </row>
    <row r="106" spans="1:1">
      <c r="A106" s="545">
        <v>13</v>
      </c>
    </row>
    <row r="107" spans="1:1">
      <c r="A107" s="545">
        <v>14</v>
      </c>
    </row>
    <row r="108" spans="1:1">
      <c r="A108" s="545">
        <v>15</v>
      </c>
    </row>
    <row r="109" spans="1:1">
      <c r="A109" s="545">
        <v>16</v>
      </c>
    </row>
    <row r="110" spans="1:1">
      <c r="A110" s="545">
        <v>17</v>
      </c>
    </row>
    <row r="111" spans="1:1">
      <c r="A111" s="545">
        <v>18</v>
      </c>
    </row>
    <row r="112" spans="1:1">
      <c r="A112" s="545">
        <v>19</v>
      </c>
    </row>
    <row r="113" spans="1:1">
      <c r="A113" s="545">
        <v>20</v>
      </c>
    </row>
    <row r="114" spans="1:1">
      <c r="A114" s="545">
        <v>21</v>
      </c>
    </row>
    <row r="115" spans="1:1">
      <c r="A115" s="545">
        <v>22</v>
      </c>
    </row>
    <row r="116" spans="1:1">
      <c r="A116" s="545">
        <v>23</v>
      </c>
    </row>
    <row r="117" spans="1:1">
      <c r="A117" s="545">
        <v>24</v>
      </c>
    </row>
    <row r="118" spans="1:1">
      <c r="A118" s="545">
        <v>25</v>
      </c>
    </row>
    <row r="119" spans="1:1">
      <c r="A119" s="545">
        <v>26</v>
      </c>
    </row>
    <row r="120" spans="1:1">
      <c r="A120" s="545">
        <v>27</v>
      </c>
    </row>
    <row r="121" spans="1:1">
      <c r="A121" s="545">
        <v>28</v>
      </c>
    </row>
    <row r="122" spans="1:1">
      <c r="A122" s="545">
        <v>29</v>
      </c>
    </row>
    <row r="123" spans="1:1">
      <c r="A123" s="545">
        <v>30</v>
      </c>
    </row>
    <row r="124" spans="1:1">
      <c r="A124" s="545">
        <v>31</v>
      </c>
    </row>
    <row r="125" spans="1:1">
      <c r="A125" s="545">
        <v>32</v>
      </c>
    </row>
    <row r="126" spans="1:1">
      <c r="A126" s="545">
        <v>33</v>
      </c>
    </row>
    <row r="127" spans="1:1">
      <c r="A127" s="545">
        <v>34</v>
      </c>
    </row>
    <row r="128" spans="1:1">
      <c r="A128" s="545">
        <v>35</v>
      </c>
    </row>
    <row r="129" spans="1:1">
      <c r="A129" s="545">
        <v>36</v>
      </c>
    </row>
    <row r="130" spans="1:1">
      <c r="A130" s="545">
        <v>37</v>
      </c>
    </row>
    <row r="131" spans="1:1">
      <c r="A131" s="545">
        <v>38</v>
      </c>
    </row>
    <row r="132" spans="1:1">
      <c r="A132" s="545">
        <v>39</v>
      </c>
    </row>
    <row r="133" spans="1:1">
      <c r="A133" s="545">
        <v>40</v>
      </c>
    </row>
    <row r="134" spans="1:1">
      <c r="A134" s="545">
        <v>41</v>
      </c>
    </row>
    <row r="135" spans="1:1">
      <c r="A135" s="545">
        <v>42</v>
      </c>
    </row>
    <row r="136" spans="1:1">
      <c r="A136" s="545">
        <v>43</v>
      </c>
    </row>
    <row r="137" spans="1:1">
      <c r="A137" s="545">
        <v>44</v>
      </c>
    </row>
    <row r="138" spans="1:1">
      <c r="A138" s="545">
        <v>45</v>
      </c>
    </row>
    <row r="139" spans="1:1">
      <c r="A139" s="545">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49" t="s">
        <v>333</v>
      </c>
    </row>
    <row r="3" spans="1:2">
      <c r="A3" s="320" t="s">
        <v>142</v>
      </c>
      <c r="B3" s="321"/>
    </row>
    <row r="4" spans="1:2">
      <c r="A4" s="320" t="s">
        <v>127</v>
      </c>
      <c r="B4" s="321" t="s">
        <v>140</v>
      </c>
    </row>
    <row r="5" spans="1:2">
      <c r="A5" s="422">
        <v>0</v>
      </c>
      <c r="B5" s="740">
        <v>11</v>
      </c>
    </row>
    <row r="6" spans="1:2">
      <c r="A6" s="671">
        <v>1</v>
      </c>
      <c r="B6" s="741">
        <v>12</v>
      </c>
    </row>
    <row r="7" spans="1:2">
      <c r="A7" s="671">
        <v>2</v>
      </c>
      <c r="B7" s="741">
        <v>20</v>
      </c>
    </row>
    <row r="8" spans="1:2">
      <c r="A8" s="671">
        <v>3</v>
      </c>
      <c r="B8" s="741">
        <v>3</v>
      </c>
    </row>
    <row r="9" spans="1:2">
      <c r="A9" s="423" t="s">
        <v>141</v>
      </c>
      <c r="B9" s="742">
        <v>46</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selection activeCell="I4" sqref="I4"/>
    </sheetView>
  </sheetViews>
  <sheetFormatPr defaultRowHeight="12.75"/>
  <cols>
    <col min="1" max="1" width="16"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0" t="s">
        <v>405</v>
      </c>
      <c r="B3" s="320" t="s">
        <v>17</v>
      </c>
      <c r="C3" s="670"/>
      <c r="D3" s="465"/>
    </row>
    <row r="4" spans="1:11">
      <c r="A4" s="320" t="s">
        <v>432</v>
      </c>
      <c r="B4" s="422">
        <v>0</v>
      </c>
      <c r="C4" s="475">
        <v>1</v>
      </c>
      <c r="D4" s="321" t="s">
        <v>141</v>
      </c>
      <c r="I4" s="89" t="s">
        <v>460</v>
      </c>
      <c r="J4" s="89" t="s">
        <v>459</v>
      </c>
      <c r="K4" s="89" t="s">
        <v>52</v>
      </c>
    </row>
    <row r="5" spans="1:11">
      <c r="A5" s="422" t="s">
        <v>584</v>
      </c>
      <c r="B5" s="743">
        <v>1</v>
      </c>
      <c r="C5" s="744"/>
      <c r="D5" s="740">
        <v>1</v>
      </c>
      <c r="I5" s="422" t="s">
        <v>585</v>
      </c>
      <c r="J5" s="422">
        <v>9</v>
      </c>
      <c r="K5" s="475"/>
    </row>
    <row r="6" spans="1:11">
      <c r="A6" s="671" t="s">
        <v>412</v>
      </c>
      <c r="B6" s="745"/>
      <c r="C6" s="746">
        <v>7</v>
      </c>
      <c r="D6" s="741">
        <v>7</v>
      </c>
      <c r="I6" s="422" t="s">
        <v>605</v>
      </c>
      <c r="J6" s="422">
        <v>6</v>
      </c>
      <c r="K6" s="475"/>
    </row>
    <row r="7" spans="1:11">
      <c r="A7" s="671" t="s">
        <v>536</v>
      </c>
      <c r="B7" s="745"/>
      <c r="C7" s="746">
        <v>4</v>
      </c>
      <c r="D7" s="741">
        <v>4</v>
      </c>
      <c r="I7" s="422" t="s">
        <v>637</v>
      </c>
      <c r="J7" s="422">
        <v>5</v>
      </c>
      <c r="K7" s="475"/>
    </row>
    <row r="8" spans="1:11">
      <c r="A8" s="671" t="s">
        <v>339</v>
      </c>
      <c r="B8" s="745"/>
      <c r="C8" s="746">
        <v>1</v>
      </c>
      <c r="D8" s="741">
        <v>1</v>
      </c>
      <c r="I8" s="422" t="s">
        <v>537</v>
      </c>
      <c r="J8" s="422">
        <v>3</v>
      </c>
      <c r="K8" s="475"/>
    </row>
    <row r="9" spans="1:11">
      <c r="A9" s="671" t="s">
        <v>634</v>
      </c>
      <c r="B9" s="745">
        <v>2</v>
      </c>
      <c r="C9" s="746"/>
      <c r="D9" s="741">
        <v>2</v>
      </c>
      <c r="I9" s="422" t="s">
        <v>590</v>
      </c>
      <c r="J9" s="422">
        <v>3</v>
      </c>
      <c r="K9" s="475"/>
    </row>
    <row r="10" spans="1:11">
      <c r="A10" s="671" t="s">
        <v>537</v>
      </c>
      <c r="B10" s="745">
        <v>3</v>
      </c>
      <c r="C10" s="746"/>
      <c r="D10" s="741">
        <v>3</v>
      </c>
      <c r="I10" s="422" t="s">
        <v>595</v>
      </c>
      <c r="J10" s="422">
        <v>3</v>
      </c>
      <c r="K10" s="475"/>
    </row>
    <row r="11" spans="1:11">
      <c r="A11" s="671" t="s">
        <v>546</v>
      </c>
      <c r="B11" s="745">
        <v>1</v>
      </c>
      <c r="C11" s="746"/>
      <c r="D11" s="741">
        <v>1</v>
      </c>
      <c r="I11" s="422" t="s">
        <v>589</v>
      </c>
      <c r="J11" s="422">
        <v>3</v>
      </c>
      <c r="K11" s="475"/>
    </row>
    <row r="12" spans="1:11">
      <c r="A12" s="671" t="s">
        <v>629</v>
      </c>
      <c r="B12" s="745">
        <v>1</v>
      </c>
      <c r="C12" s="746"/>
      <c r="D12" s="741">
        <v>1</v>
      </c>
      <c r="I12" s="422" t="s">
        <v>617</v>
      </c>
      <c r="J12" s="422">
        <v>3</v>
      </c>
      <c r="K12" s="475"/>
    </row>
    <row r="13" spans="1:11">
      <c r="A13" s="671" t="s">
        <v>398</v>
      </c>
      <c r="B13" s="745">
        <v>2</v>
      </c>
      <c r="C13" s="746"/>
      <c r="D13" s="741">
        <v>2</v>
      </c>
      <c r="I13" s="422" t="s">
        <v>587</v>
      </c>
      <c r="J13" s="422">
        <v>3</v>
      </c>
      <c r="K13" s="475"/>
    </row>
    <row r="14" spans="1:11">
      <c r="A14" s="671" t="s">
        <v>613</v>
      </c>
      <c r="B14" s="745">
        <v>1</v>
      </c>
      <c r="C14" s="746"/>
      <c r="D14" s="741">
        <v>1</v>
      </c>
      <c r="I14" s="422" t="s">
        <v>634</v>
      </c>
      <c r="J14" s="422">
        <v>2</v>
      </c>
      <c r="K14" s="475"/>
    </row>
    <row r="15" spans="1:11">
      <c r="A15" s="671" t="s">
        <v>563</v>
      </c>
      <c r="B15" s="745">
        <v>1</v>
      </c>
      <c r="C15" s="746"/>
      <c r="D15" s="741">
        <v>1</v>
      </c>
      <c r="I15" s="422" t="s">
        <v>398</v>
      </c>
      <c r="J15" s="422">
        <v>2</v>
      </c>
      <c r="K15" s="475"/>
    </row>
    <row r="16" spans="1:11">
      <c r="A16" s="671" t="s">
        <v>590</v>
      </c>
      <c r="B16" s="745">
        <v>3</v>
      </c>
      <c r="C16" s="746"/>
      <c r="D16" s="741">
        <v>3</v>
      </c>
      <c r="I16" s="422" t="s">
        <v>167</v>
      </c>
      <c r="J16" s="422">
        <v>2</v>
      </c>
      <c r="K16" s="475"/>
    </row>
    <row r="17" spans="1:11">
      <c r="A17" s="671" t="s">
        <v>553</v>
      </c>
      <c r="B17" s="745">
        <v>1</v>
      </c>
      <c r="C17" s="746"/>
      <c r="D17" s="741">
        <v>1</v>
      </c>
      <c r="I17" s="422" t="s">
        <v>612</v>
      </c>
      <c r="J17" s="422">
        <v>2</v>
      </c>
      <c r="K17" s="475"/>
    </row>
    <row r="18" spans="1:11">
      <c r="A18" s="671" t="s">
        <v>167</v>
      </c>
      <c r="B18" s="745">
        <v>2</v>
      </c>
      <c r="C18" s="746"/>
      <c r="D18" s="741">
        <v>2</v>
      </c>
      <c r="I18" s="422" t="s">
        <v>543</v>
      </c>
      <c r="J18" s="422">
        <v>2</v>
      </c>
      <c r="K18" s="475"/>
    </row>
    <row r="19" spans="1:11">
      <c r="A19" s="671" t="s">
        <v>612</v>
      </c>
      <c r="B19" s="745">
        <v>2</v>
      </c>
      <c r="C19" s="746"/>
      <c r="D19" s="741">
        <v>2</v>
      </c>
      <c r="I19" s="422" t="s">
        <v>638</v>
      </c>
      <c r="J19" s="422">
        <v>2</v>
      </c>
      <c r="K19" s="475"/>
    </row>
    <row r="20" spans="1:11">
      <c r="A20" s="671" t="s">
        <v>595</v>
      </c>
      <c r="B20" s="745">
        <v>3</v>
      </c>
      <c r="C20" s="746"/>
      <c r="D20" s="741">
        <v>3</v>
      </c>
      <c r="I20" s="422" t="s">
        <v>584</v>
      </c>
      <c r="J20" s="422">
        <v>1</v>
      </c>
      <c r="K20" s="475"/>
    </row>
    <row r="21" spans="1:11">
      <c r="A21" s="671" t="s">
        <v>580</v>
      </c>
      <c r="B21" s="745">
        <v>1</v>
      </c>
      <c r="C21" s="746"/>
      <c r="D21" s="741">
        <v>1</v>
      </c>
      <c r="I21" s="422" t="s">
        <v>546</v>
      </c>
      <c r="J21" s="422">
        <v>1</v>
      </c>
      <c r="K21" s="475"/>
    </row>
    <row r="22" spans="1:11">
      <c r="A22" s="671" t="s">
        <v>581</v>
      </c>
      <c r="B22" s="745"/>
      <c r="C22" s="746">
        <v>4</v>
      </c>
      <c r="D22" s="741">
        <v>4</v>
      </c>
      <c r="I22" s="422" t="s">
        <v>629</v>
      </c>
      <c r="J22" s="422">
        <v>1</v>
      </c>
      <c r="K22" s="475"/>
    </row>
    <row r="23" spans="1:11">
      <c r="A23" s="671" t="s">
        <v>589</v>
      </c>
      <c r="B23" s="745">
        <v>3</v>
      </c>
      <c r="C23" s="746"/>
      <c r="D23" s="741">
        <v>3</v>
      </c>
      <c r="I23" s="422" t="s">
        <v>613</v>
      </c>
      <c r="J23" s="422">
        <v>1</v>
      </c>
      <c r="K23" s="475"/>
    </row>
    <row r="24" spans="1:11">
      <c r="A24" s="671" t="s">
        <v>632</v>
      </c>
      <c r="B24" s="745"/>
      <c r="C24" s="746">
        <v>4</v>
      </c>
      <c r="D24" s="741">
        <v>4</v>
      </c>
      <c r="I24" s="422" t="s">
        <v>563</v>
      </c>
      <c r="J24" s="422">
        <v>1</v>
      </c>
      <c r="K24" s="475"/>
    </row>
    <row r="25" spans="1:11">
      <c r="A25" s="671" t="s">
        <v>617</v>
      </c>
      <c r="B25" s="745">
        <v>3</v>
      </c>
      <c r="C25" s="746"/>
      <c r="D25" s="741">
        <v>3</v>
      </c>
      <c r="I25" s="422" t="s">
        <v>553</v>
      </c>
      <c r="J25" s="422">
        <v>1</v>
      </c>
      <c r="K25" s="475"/>
    </row>
    <row r="26" spans="1:11">
      <c r="A26" s="671" t="s">
        <v>557</v>
      </c>
      <c r="B26" s="745">
        <v>1</v>
      </c>
      <c r="C26" s="746"/>
      <c r="D26" s="741">
        <v>1</v>
      </c>
      <c r="I26" s="422" t="s">
        <v>580</v>
      </c>
      <c r="J26" s="422">
        <v>1</v>
      </c>
      <c r="K26" s="475"/>
    </row>
    <row r="27" spans="1:11">
      <c r="A27" s="671" t="s">
        <v>645</v>
      </c>
      <c r="B27" s="745"/>
      <c r="C27" s="746">
        <v>1</v>
      </c>
      <c r="D27" s="741">
        <v>1</v>
      </c>
      <c r="I27" s="422" t="s">
        <v>557</v>
      </c>
      <c r="J27" s="422">
        <v>1</v>
      </c>
      <c r="K27" s="475"/>
    </row>
    <row r="28" spans="1:11">
      <c r="A28" s="671" t="s">
        <v>633</v>
      </c>
      <c r="B28" s="745"/>
      <c r="C28" s="746">
        <v>2</v>
      </c>
      <c r="D28" s="741">
        <v>2</v>
      </c>
      <c r="I28" s="422" t="s">
        <v>399</v>
      </c>
      <c r="J28" s="422">
        <v>1</v>
      </c>
      <c r="K28" s="475"/>
    </row>
    <row r="29" spans="1:11">
      <c r="A29" s="671" t="s">
        <v>599</v>
      </c>
      <c r="B29" s="745"/>
      <c r="C29" s="746">
        <v>2</v>
      </c>
      <c r="D29" s="741">
        <v>2</v>
      </c>
      <c r="I29" s="422" t="s">
        <v>552</v>
      </c>
      <c r="J29" s="422">
        <v>1</v>
      </c>
      <c r="K29" s="475"/>
    </row>
    <row r="30" spans="1:11">
      <c r="A30" s="671" t="s">
        <v>399</v>
      </c>
      <c r="B30" s="745">
        <v>1</v>
      </c>
      <c r="C30" s="746"/>
      <c r="D30" s="741">
        <v>1</v>
      </c>
      <c r="I30" s="422" t="s">
        <v>603</v>
      </c>
      <c r="J30" s="422">
        <v>1</v>
      </c>
      <c r="K30" s="475"/>
    </row>
    <row r="31" spans="1:11">
      <c r="A31" s="671" t="s">
        <v>609</v>
      </c>
      <c r="B31" s="745"/>
      <c r="C31" s="746">
        <v>3</v>
      </c>
      <c r="D31" s="741">
        <v>3</v>
      </c>
      <c r="I31" s="422" t="s">
        <v>597</v>
      </c>
      <c r="J31" s="422">
        <v>1</v>
      </c>
      <c r="K31" s="475"/>
    </row>
    <row r="32" spans="1:11">
      <c r="A32" s="671" t="s">
        <v>552</v>
      </c>
      <c r="B32" s="745">
        <v>1</v>
      </c>
      <c r="C32" s="746"/>
      <c r="D32" s="741">
        <v>1</v>
      </c>
      <c r="I32" s="422" t="s">
        <v>625</v>
      </c>
      <c r="J32" s="422">
        <v>1</v>
      </c>
      <c r="K32" s="475"/>
    </row>
    <row r="33" spans="1:11">
      <c r="A33" s="671" t="s">
        <v>641</v>
      </c>
      <c r="B33" s="745"/>
      <c r="C33" s="746">
        <v>1</v>
      </c>
      <c r="D33" s="741">
        <v>1</v>
      </c>
      <c r="I33" s="422" t="s">
        <v>626</v>
      </c>
      <c r="J33" s="422">
        <v>1</v>
      </c>
      <c r="K33" s="475"/>
    </row>
    <row r="34" spans="1:11">
      <c r="A34" s="671" t="s">
        <v>603</v>
      </c>
      <c r="B34" s="745">
        <v>1</v>
      </c>
      <c r="C34" s="746"/>
      <c r="D34" s="741">
        <v>1</v>
      </c>
      <c r="I34" s="422" t="s">
        <v>640</v>
      </c>
      <c r="J34" s="422">
        <v>1</v>
      </c>
      <c r="K34" s="475"/>
    </row>
    <row r="35" spans="1:11">
      <c r="A35" s="671" t="s">
        <v>556</v>
      </c>
      <c r="B35" s="745"/>
      <c r="C35" s="746">
        <v>1</v>
      </c>
      <c r="D35" s="741">
        <v>1</v>
      </c>
      <c r="I35" s="422" t="s">
        <v>408</v>
      </c>
      <c r="J35" s="422">
        <v>1</v>
      </c>
      <c r="K35" s="475"/>
    </row>
    <row r="36" spans="1:11">
      <c r="A36" s="671" t="s">
        <v>579</v>
      </c>
      <c r="B36" s="745"/>
      <c r="C36" s="746">
        <v>1</v>
      </c>
      <c r="D36" s="741">
        <v>1</v>
      </c>
      <c r="I36" s="422" t="s">
        <v>554</v>
      </c>
      <c r="J36" s="422">
        <v>1</v>
      </c>
      <c r="K36" s="475"/>
    </row>
    <row r="37" spans="1:11">
      <c r="A37" s="671" t="s">
        <v>627</v>
      </c>
      <c r="B37" s="745"/>
      <c r="C37" s="746">
        <v>1</v>
      </c>
      <c r="D37" s="741">
        <v>1</v>
      </c>
      <c r="I37" s="422" t="s">
        <v>639</v>
      </c>
      <c r="J37" s="422">
        <v>1</v>
      </c>
      <c r="K37" s="475"/>
    </row>
    <row r="38" spans="1:11">
      <c r="A38" s="671" t="s">
        <v>597</v>
      </c>
      <c r="B38" s="745">
        <v>1</v>
      </c>
      <c r="C38" s="746"/>
      <c r="D38" s="741">
        <v>1</v>
      </c>
      <c r="I38" s="422" t="s">
        <v>646</v>
      </c>
      <c r="J38" s="422">
        <v>1</v>
      </c>
      <c r="K38" s="475"/>
    </row>
    <row r="39" spans="1:11">
      <c r="A39" s="671" t="s">
        <v>648</v>
      </c>
      <c r="B39" s="745"/>
      <c r="C39" s="746">
        <v>3</v>
      </c>
      <c r="D39" s="741">
        <v>3</v>
      </c>
      <c r="I39" s="422" t="s">
        <v>591</v>
      </c>
      <c r="J39" s="422">
        <v>1</v>
      </c>
      <c r="K39" s="475"/>
    </row>
    <row r="40" spans="1:11">
      <c r="A40" s="671" t="s">
        <v>625</v>
      </c>
      <c r="B40" s="745">
        <v>1</v>
      </c>
      <c r="C40" s="746"/>
      <c r="D40" s="741">
        <v>1</v>
      </c>
      <c r="I40" s="422" t="s">
        <v>615</v>
      </c>
      <c r="J40" s="422">
        <v>1</v>
      </c>
      <c r="K40" s="475"/>
    </row>
    <row r="41" spans="1:11">
      <c r="A41" s="671" t="s">
        <v>548</v>
      </c>
      <c r="B41" s="745"/>
      <c r="C41" s="746">
        <v>1</v>
      </c>
      <c r="D41" s="741">
        <v>1</v>
      </c>
      <c r="I41" s="422" t="s">
        <v>644</v>
      </c>
      <c r="J41" s="422">
        <v>1</v>
      </c>
      <c r="K41" s="475"/>
    </row>
    <row r="42" spans="1:11">
      <c r="A42" s="671" t="s">
        <v>605</v>
      </c>
      <c r="B42" s="745">
        <v>6</v>
      </c>
      <c r="C42" s="746"/>
      <c r="D42" s="741">
        <v>6</v>
      </c>
      <c r="I42" s="422" t="s">
        <v>643</v>
      </c>
      <c r="J42" s="422">
        <v>1</v>
      </c>
      <c r="K42" s="475"/>
    </row>
    <row r="43" spans="1:11">
      <c r="A43" s="671" t="s">
        <v>607</v>
      </c>
      <c r="B43" s="745"/>
      <c r="C43" s="746">
        <v>1</v>
      </c>
      <c r="D43" s="741">
        <v>1</v>
      </c>
      <c r="I43" s="422" t="s">
        <v>412</v>
      </c>
      <c r="J43" s="422"/>
      <c r="K43" s="475">
        <v>7</v>
      </c>
    </row>
    <row r="44" spans="1:11">
      <c r="A44" s="671" t="s">
        <v>587</v>
      </c>
      <c r="B44" s="745">
        <v>3</v>
      </c>
      <c r="C44" s="746"/>
      <c r="D44" s="741">
        <v>3</v>
      </c>
      <c r="I44" s="422" t="s">
        <v>586</v>
      </c>
      <c r="J44" s="422"/>
      <c r="K44" s="475">
        <v>6</v>
      </c>
    </row>
    <row r="45" spans="1:11">
      <c r="A45" s="671" t="s">
        <v>543</v>
      </c>
      <c r="B45" s="745">
        <v>2</v>
      </c>
      <c r="C45" s="746"/>
      <c r="D45" s="741">
        <v>2</v>
      </c>
      <c r="I45" s="422" t="s">
        <v>588</v>
      </c>
      <c r="J45" s="422"/>
      <c r="K45" s="475">
        <v>6</v>
      </c>
    </row>
    <row r="46" spans="1:11">
      <c r="A46" s="671" t="s">
        <v>560</v>
      </c>
      <c r="B46" s="745"/>
      <c r="C46" s="746">
        <v>3</v>
      </c>
      <c r="D46" s="741">
        <v>3</v>
      </c>
      <c r="I46" s="422" t="s">
        <v>536</v>
      </c>
      <c r="J46" s="422"/>
      <c r="K46" s="475">
        <v>4</v>
      </c>
    </row>
    <row r="47" spans="1:11">
      <c r="A47" s="671" t="s">
        <v>637</v>
      </c>
      <c r="B47" s="745">
        <v>5</v>
      </c>
      <c r="C47" s="746"/>
      <c r="D47" s="741">
        <v>5</v>
      </c>
      <c r="I47" s="422" t="s">
        <v>581</v>
      </c>
      <c r="J47" s="422"/>
      <c r="K47" s="475">
        <v>4</v>
      </c>
    </row>
    <row r="48" spans="1:11">
      <c r="A48" s="671" t="s">
        <v>626</v>
      </c>
      <c r="B48" s="745">
        <v>1</v>
      </c>
      <c r="C48" s="746"/>
      <c r="D48" s="741">
        <v>1</v>
      </c>
      <c r="I48" s="422" t="s">
        <v>632</v>
      </c>
      <c r="J48" s="422"/>
      <c r="K48" s="475">
        <v>4</v>
      </c>
    </row>
    <row r="49" spans="1:11">
      <c r="A49" s="671" t="s">
        <v>640</v>
      </c>
      <c r="B49" s="745">
        <v>1</v>
      </c>
      <c r="C49" s="746"/>
      <c r="D49" s="741">
        <v>1</v>
      </c>
      <c r="I49" s="422" t="s">
        <v>609</v>
      </c>
      <c r="J49" s="422"/>
      <c r="K49" s="475">
        <v>3</v>
      </c>
    </row>
    <row r="50" spans="1:11">
      <c r="A50" s="671" t="s">
        <v>585</v>
      </c>
      <c r="B50" s="745">
        <v>9</v>
      </c>
      <c r="C50" s="746"/>
      <c r="D50" s="741">
        <v>9</v>
      </c>
      <c r="I50" s="422" t="s">
        <v>648</v>
      </c>
      <c r="J50" s="422"/>
      <c r="K50" s="475">
        <v>3</v>
      </c>
    </row>
    <row r="51" spans="1:11">
      <c r="A51" s="671" t="s">
        <v>408</v>
      </c>
      <c r="B51" s="745">
        <v>1</v>
      </c>
      <c r="C51" s="746"/>
      <c r="D51" s="741">
        <v>1</v>
      </c>
      <c r="I51" s="422" t="s">
        <v>560</v>
      </c>
      <c r="J51" s="422"/>
      <c r="K51" s="475">
        <v>3</v>
      </c>
    </row>
    <row r="52" spans="1:11">
      <c r="A52" s="671" t="s">
        <v>554</v>
      </c>
      <c r="B52" s="745">
        <v>1</v>
      </c>
      <c r="C52" s="746"/>
      <c r="D52" s="741">
        <v>1</v>
      </c>
      <c r="I52" s="422" t="s">
        <v>633</v>
      </c>
      <c r="J52" s="422"/>
      <c r="K52" s="475">
        <v>2</v>
      </c>
    </row>
    <row r="53" spans="1:11">
      <c r="A53" s="671" t="s">
        <v>559</v>
      </c>
      <c r="B53" s="745"/>
      <c r="C53" s="746">
        <v>2</v>
      </c>
      <c r="D53" s="741">
        <v>2</v>
      </c>
      <c r="I53" s="422" t="s">
        <v>599</v>
      </c>
      <c r="J53" s="422"/>
      <c r="K53" s="475">
        <v>2</v>
      </c>
    </row>
    <row r="54" spans="1:11">
      <c r="A54" s="671" t="s">
        <v>586</v>
      </c>
      <c r="B54" s="745"/>
      <c r="C54" s="746">
        <v>6</v>
      </c>
      <c r="D54" s="741">
        <v>6</v>
      </c>
      <c r="I54" s="422" t="s">
        <v>559</v>
      </c>
      <c r="J54" s="422"/>
      <c r="K54" s="475">
        <v>2</v>
      </c>
    </row>
    <row r="55" spans="1:11">
      <c r="A55" s="671" t="s">
        <v>588</v>
      </c>
      <c r="B55" s="745"/>
      <c r="C55" s="746">
        <v>6</v>
      </c>
      <c r="D55" s="741">
        <v>6</v>
      </c>
      <c r="I55" s="422" t="s">
        <v>530</v>
      </c>
      <c r="J55" s="422"/>
      <c r="K55" s="475">
        <v>2</v>
      </c>
    </row>
    <row r="56" spans="1:11">
      <c r="A56" s="671" t="s">
        <v>638</v>
      </c>
      <c r="B56" s="745">
        <v>2</v>
      </c>
      <c r="C56" s="746"/>
      <c r="D56" s="741">
        <v>2</v>
      </c>
      <c r="I56" s="422" t="s">
        <v>339</v>
      </c>
      <c r="J56" s="422"/>
      <c r="K56" s="475">
        <v>1</v>
      </c>
    </row>
    <row r="57" spans="1:11">
      <c r="A57" s="671" t="s">
        <v>639</v>
      </c>
      <c r="B57" s="745">
        <v>1</v>
      </c>
      <c r="C57" s="746"/>
      <c r="D57" s="741">
        <v>1</v>
      </c>
      <c r="I57" s="422" t="s">
        <v>645</v>
      </c>
      <c r="J57" s="422"/>
      <c r="K57" s="475">
        <v>1</v>
      </c>
    </row>
    <row r="58" spans="1:11">
      <c r="A58" s="671" t="s">
        <v>646</v>
      </c>
      <c r="B58" s="745">
        <v>1</v>
      </c>
      <c r="C58" s="746"/>
      <c r="D58" s="741">
        <v>1</v>
      </c>
      <c r="I58" s="422" t="s">
        <v>641</v>
      </c>
      <c r="J58" s="422"/>
      <c r="K58" s="475">
        <v>1</v>
      </c>
    </row>
    <row r="59" spans="1:11">
      <c r="A59" s="671" t="s">
        <v>647</v>
      </c>
      <c r="B59" s="745"/>
      <c r="C59" s="746">
        <v>1</v>
      </c>
      <c r="D59" s="741">
        <v>1</v>
      </c>
      <c r="I59" s="422" t="s">
        <v>556</v>
      </c>
      <c r="J59" s="422"/>
      <c r="K59" s="475">
        <v>1</v>
      </c>
    </row>
    <row r="60" spans="1:11">
      <c r="A60" s="671" t="s">
        <v>591</v>
      </c>
      <c r="B60" s="745">
        <v>1</v>
      </c>
      <c r="C60" s="746"/>
      <c r="D60" s="741">
        <v>1</v>
      </c>
      <c r="I60" s="422" t="s">
        <v>579</v>
      </c>
      <c r="J60" s="422"/>
      <c r="K60" s="475">
        <v>1</v>
      </c>
    </row>
    <row r="61" spans="1:11">
      <c r="A61" s="671" t="s">
        <v>530</v>
      </c>
      <c r="B61" s="745"/>
      <c r="C61" s="746">
        <v>2</v>
      </c>
      <c r="D61" s="741">
        <v>2</v>
      </c>
      <c r="I61" s="422" t="s">
        <v>627</v>
      </c>
      <c r="J61" s="422"/>
      <c r="K61" s="475">
        <v>1</v>
      </c>
    </row>
    <row r="62" spans="1:11">
      <c r="A62" s="671" t="s">
        <v>615</v>
      </c>
      <c r="B62" s="745">
        <v>1</v>
      </c>
      <c r="C62" s="746"/>
      <c r="D62" s="741">
        <v>1</v>
      </c>
      <c r="I62" s="422" t="s">
        <v>548</v>
      </c>
      <c r="J62" s="422"/>
      <c r="K62" s="475">
        <v>1</v>
      </c>
    </row>
    <row r="63" spans="1:11">
      <c r="A63" s="671" t="s">
        <v>618</v>
      </c>
      <c r="B63" s="745"/>
      <c r="C63" s="746">
        <v>1</v>
      </c>
      <c r="D63" s="741">
        <v>1</v>
      </c>
      <c r="I63" s="422" t="s">
        <v>607</v>
      </c>
      <c r="J63" s="422"/>
      <c r="K63" s="475">
        <v>1</v>
      </c>
    </row>
    <row r="64" spans="1:11">
      <c r="A64" s="671" t="s">
        <v>644</v>
      </c>
      <c r="B64" s="745">
        <v>1</v>
      </c>
      <c r="C64" s="746"/>
      <c r="D64" s="741">
        <v>1</v>
      </c>
      <c r="I64" s="422" t="s">
        <v>647</v>
      </c>
      <c r="J64" s="422"/>
      <c r="K64" s="475">
        <v>1</v>
      </c>
    </row>
    <row r="65" spans="1:11">
      <c r="A65" s="671" t="s">
        <v>642</v>
      </c>
      <c r="B65" s="745"/>
      <c r="C65" s="746">
        <v>1</v>
      </c>
      <c r="D65" s="741">
        <v>1</v>
      </c>
      <c r="I65" s="422" t="s">
        <v>618</v>
      </c>
      <c r="J65" s="422"/>
      <c r="K65" s="475">
        <v>1</v>
      </c>
    </row>
    <row r="66" spans="1:11">
      <c r="A66" s="671" t="s">
        <v>643</v>
      </c>
      <c r="B66" s="745">
        <v>1</v>
      </c>
      <c r="C66" s="746"/>
      <c r="D66" s="741">
        <v>1</v>
      </c>
      <c r="I66" s="422" t="s">
        <v>642</v>
      </c>
      <c r="J66" s="422"/>
      <c r="K66" s="475">
        <v>1</v>
      </c>
    </row>
    <row r="67" spans="1:11">
      <c r="A67" s="423" t="s">
        <v>141</v>
      </c>
      <c r="B67" s="747">
        <v>73</v>
      </c>
      <c r="C67" s="748">
        <v>59</v>
      </c>
      <c r="D67" s="742">
        <v>132</v>
      </c>
      <c r="I67" s="422"/>
      <c r="J67" s="422"/>
      <c r="K67" s="475"/>
    </row>
    <row r="68" spans="1:11">
      <c r="I68" s="422"/>
      <c r="J68" s="422"/>
      <c r="K68" s="475"/>
    </row>
    <row r="69" spans="1:11">
      <c r="I69" s="422"/>
      <c r="J69" s="422"/>
      <c r="K69" s="475"/>
    </row>
    <row r="70" spans="1:11">
      <c r="I70" s="422"/>
      <c r="J70" s="422"/>
      <c r="K70" s="475"/>
    </row>
    <row r="71" spans="1:11">
      <c r="I71" s="422"/>
      <c r="J71" s="422"/>
      <c r="K71" s="475"/>
    </row>
    <row r="72" spans="1:11">
      <c r="I72" s="422"/>
      <c r="J72" s="422"/>
      <c r="K72" s="475"/>
    </row>
    <row r="73" spans="1:11">
      <c r="I73" s="422"/>
      <c r="J73" s="422"/>
      <c r="K73" s="475"/>
    </row>
    <row r="74" spans="1:11">
      <c r="I74" s="422"/>
      <c r="J74" s="422"/>
      <c r="K74" s="475"/>
    </row>
    <row r="75" spans="1:11">
      <c r="I75" s="422"/>
      <c r="J75" s="422"/>
      <c r="K75" s="475"/>
    </row>
    <row r="76" spans="1:11">
      <c r="I76" s="422"/>
      <c r="J76" s="422"/>
      <c r="K76" s="475"/>
    </row>
    <row r="77" spans="1:11">
      <c r="I77" s="422"/>
      <c r="J77" s="422"/>
      <c r="K77" s="475"/>
    </row>
    <row r="78" spans="1:11">
      <c r="I78" s="422"/>
      <c r="J78" s="422"/>
      <c r="K78" s="475"/>
    </row>
    <row r="79" spans="1:11">
      <c r="I79" s="422"/>
      <c r="J79" s="422"/>
      <c r="K79" s="475"/>
    </row>
    <row r="80" spans="1:11">
      <c r="I80" s="422"/>
      <c r="J80" s="422"/>
      <c r="K80" s="475"/>
    </row>
    <row r="81" spans="9:11">
      <c r="I81" s="422"/>
      <c r="J81" s="422"/>
      <c r="K81" s="475"/>
    </row>
    <row r="82" spans="9:11">
      <c r="I82" s="422"/>
      <c r="J82" s="422"/>
      <c r="K82" s="475"/>
    </row>
    <row r="83" spans="9:11">
      <c r="I83" s="422"/>
      <c r="J83" s="422"/>
      <c r="K83" s="475"/>
    </row>
    <row r="84" spans="9:11">
      <c r="I84" s="422"/>
      <c r="J84" s="422"/>
      <c r="K84" s="475"/>
    </row>
    <row r="85" spans="9:11">
      <c r="I85" s="422"/>
      <c r="J85" s="422"/>
      <c r="K85" s="475"/>
    </row>
    <row r="86" spans="9:11">
      <c r="I86" s="422"/>
      <c r="J86" s="422"/>
      <c r="K86" s="475"/>
    </row>
    <row r="87" spans="9:11">
      <c r="I87" s="422"/>
      <c r="J87" s="422"/>
      <c r="K87" s="475"/>
    </row>
    <row r="88" spans="9:11">
      <c r="I88" s="422"/>
      <c r="J88" s="422"/>
      <c r="K88" s="475"/>
    </row>
    <row r="89" spans="9:11">
      <c r="I89" s="422"/>
      <c r="J89" s="422"/>
      <c r="K89" s="475"/>
    </row>
    <row r="90" spans="9:11">
      <c r="I90" s="422"/>
      <c r="J90" s="422"/>
      <c r="K90" s="475"/>
    </row>
    <row r="91" spans="9:11">
      <c r="I91" s="422"/>
      <c r="J91" s="422"/>
      <c r="K91" s="475"/>
    </row>
    <row r="92" spans="9:11">
      <c r="I92" s="422"/>
      <c r="J92" s="422"/>
      <c r="K92" s="475"/>
    </row>
    <row r="93" spans="9:11">
      <c r="I93" s="422"/>
      <c r="J93" s="422"/>
      <c r="K93" s="475"/>
    </row>
    <row r="94" spans="9:11">
      <c r="I94" s="422"/>
      <c r="J94" s="422"/>
      <c r="K94" s="475"/>
    </row>
    <row r="95" spans="9:11">
      <c r="I95" s="422"/>
      <c r="J95" s="422"/>
      <c r="K95" s="475"/>
    </row>
    <row r="96" spans="9:11">
      <c r="I96" s="422"/>
      <c r="J96" s="422"/>
      <c r="K96" s="475"/>
    </row>
    <row r="97" spans="9:11">
      <c r="I97" s="422"/>
      <c r="J97" s="422"/>
      <c r="K97" s="475"/>
    </row>
    <row r="98" spans="9:11">
      <c r="I98" s="422"/>
      <c r="J98" s="422"/>
      <c r="K98" s="475"/>
    </row>
    <row r="99" spans="9:11">
      <c r="I99" s="422"/>
      <c r="J99" s="422"/>
      <c r="K99" s="475"/>
    </row>
    <row r="100" spans="9:11">
      <c r="I100" s="422"/>
      <c r="J100" s="422"/>
      <c r="K100" s="475"/>
    </row>
    <row r="101" spans="9:11">
      <c r="I101" s="422"/>
      <c r="J101" s="422"/>
      <c r="K101" s="475"/>
    </row>
    <row r="102" spans="9:11">
      <c r="I102" s="422"/>
      <c r="J102" s="422"/>
      <c r="K102" s="475"/>
    </row>
    <row r="103" spans="9:11">
      <c r="I103" s="422"/>
      <c r="J103" s="422"/>
      <c r="K103" s="475"/>
    </row>
    <row r="104" spans="9:11">
      <c r="I104" s="422"/>
      <c r="J104" s="422"/>
      <c r="K104" s="475"/>
    </row>
    <row r="105" spans="9:11">
      <c r="I105" s="216"/>
      <c r="J105" s="216"/>
      <c r="K105" s="216"/>
    </row>
    <row r="106" spans="9:11">
      <c r="I106" s="216"/>
      <c r="J106" s="216"/>
      <c r="K106" s="216"/>
    </row>
    <row r="107" spans="9:11">
      <c r="I107" s="216"/>
      <c r="J107" s="216"/>
      <c r="K107" s="216"/>
    </row>
    <row r="108" spans="9:11">
      <c r="I108" s="216"/>
      <c r="J108" s="216"/>
      <c r="K108" s="216"/>
    </row>
    <row r="109" spans="9:11">
      <c r="I109" s="216"/>
      <c r="J109" s="216"/>
      <c r="K109" s="216"/>
    </row>
    <row r="110" spans="9:11">
      <c r="I110" s="216"/>
      <c r="J110" s="216"/>
      <c r="K110" s="216"/>
    </row>
    <row r="111" spans="9:11">
      <c r="I111" s="216"/>
      <c r="J111" s="216"/>
      <c r="K111" s="216"/>
    </row>
    <row r="112" spans="9:11">
      <c r="I112" s="216"/>
      <c r="J112" s="216"/>
      <c r="K112" s="216"/>
    </row>
    <row r="113" spans="9:11">
      <c r="I113" s="216"/>
      <c r="J113" s="216"/>
      <c r="K113" s="216"/>
    </row>
    <row r="114" spans="9:11">
      <c r="I114" s="216"/>
      <c r="J114" s="216"/>
      <c r="K114" s="216"/>
    </row>
    <row r="115" spans="9:11">
      <c r="I115" s="216"/>
      <c r="J115" s="216"/>
      <c r="K115" s="216"/>
    </row>
    <row r="116" spans="9:11">
      <c r="I116" s="216"/>
      <c r="J116" s="216"/>
      <c r="K116" s="216"/>
    </row>
    <row r="117" spans="9:11">
      <c r="I117" s="216"/>
      <c r="J117" s="216"/>
      <c r="K117" s="216"/>
    </row>
    <row r="118" spans="9:11">
      <c r="I118" s="216"/>
      <c r="J118" s="216"/>
      <c r="K118" s="216"/>
    </row>
    <row r="119" spans="9:11">
      <c r="I119" s="216"/>
      <c r="J119" s="216"/>
      <c r="K119" s="216"/>
    </row>
    <row r="120" spans="9:11">
      <c r="I120" s="216"/>
      <c r="J120" s="216"/>
      <c r="K120" s="216"/>
    </row>
    <row r="121" spans="9:11">
      <c r="I121" s="216"/>
      <c r="J121" s="216"/>
      <c r="K121" s="216"/>
    </row>
    <row r="122" spans="9:11">
      <c r="I122" s="216"/>
      <c r="J122" s="216"/>
      <c r="K122" s="216"/>
    </row>
    <row r="123" spans="9:11">
      <c r="I123" s="216"/>
      <c r="J123" s="216"/>
      <c r="K123" s="216"/>
    </row>
    <row r="124" spans="9:11">
      <c r="I124" s="216"/>
      <c r="J124" s="216"/>
      <c r="K124" s="216"/>
    </row>
    <row r="125" spans="9:11">
      <c r="I125" s="216"/>
      <c r="J125" s="216"/>
      <c r="K125" s="216"/>
    </row>
    <row r="126" spans="9:11">
      <c r="I126" s="216"/>
      <c r="J126" s="216"/>
      <c r="K126" s="216"/>
    </row>
    <row r="127" spans="9:11">
      <c r="I127" s="216"/>
      <c r="J127" s="216"/>
      <c r="K127" s="216"/>
    </row>
    <row r="128" spans="9:11">
      <c r="I128" s="216"/>
      <c r="J128" s="216"/>
      <c r="K128" s="216"/>
    </row>
    <row r="129" spans="9:11">
      <c r="I129" s="216"/>
      <c r="J129" s="216"/>
      <c r="K129" s="216"/>
    </row>
    <row r="130" spans="9:11">
      <c r="I130" s="216"/>
      <c r="J130" s="216"/>
      <c r="K130" s="216"/>
    </row>
    <row r="131" spans="9:11">
      <c r="I131" s="216"/>
      <c r="J131" s="216"/>
      <c r="K131" s="216"/>
    </row>
    <row r="132" spans="9:11">
      <c r="I132" s="216"/>
      <c r="J132" s="216"/>
      <c r="K132" s="21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H1" zoomScaleNormal="100" workbookViewId="0">
      <selection activeCell="AB3" sqref="AB3:AI20"/>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97656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88"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1" customHeight="1">
      <c r="B1" s="473" t="s">
        <v>451</v>
      </c>
      <c r="C1" s="474" t="s">
        <v>571</v>
      </c>
      <c r="D1" s="474" t="s">
        <v>570</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473" t="s">
        <v>467</v>
      </c>
      <c r="C2" s="590" t="s">
        <v>636</v>
      </c>
      <c r="D2" s="77"/>
      <c r="E2" s="80"/>
      <c r="F2" s="76"/>
      <c r="G2" s="76"/>
      <c r="H2" s="80"/>
      <c r="I2" s="76"/>
      <c r="J2" s="77"/>
      <c r="K2" s="76"/>
      <c r="L2" s="76"/>
      <c r="M2" s="76"/>
      <c r="N2" s="76"/>
      <c r="O2" s="76"/>
      <c r="P2" s="76"/>
      <c r="Q2" s="76"/>
      <c r="R2" s="76"/>
      <c r="S2" s="76"/>
      <c r="T2" s="459"/>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90" t="str">
        <f>CONCATENATE("Promotion/Prize Places (Top 6) In Division after Round ",$C$2)</f>
        <v>Promotion/Prize Places (Top 6) In Division after Round 05</v>
      </c>
      <c r="E3" s="691"/>
      <c r="F3" s="691"/>
      <c r="G3" s="691"/>
      <c r="H3" s="696"/>
      <c r="I3" s="139"/>
      <c r="J3" s="319"/>
      <c r="K3" s="690" t="str">
        <f>CONCATENATE("Weekly Top 12 for Round ",$C$2)</f>
        <v>Weekly Top 12 for Round 05</v>
      </c>
      <c r="L3" s="691"/>
      <c r="M3" s="691"/>
      <c r="N3" s="691"/>
      <c r="O3" s="691"/>
      <c r="P3" s="691"/>
      <c r="Q3" s="691"/>
      <c r="R3" s="691"/>
      <c r="S3" s="696"/>
      <c r="T3" s="76"/>
      <c r="U3" s="472"/>
      <c r="V3" s="76"/>
      <c r="W3" s="76"/>
      <c r="X3" s="76"/>
      <c r="Y3" s="76"/>
      <c r="Z3" s="76"/>
      <c r="AA3" s="390"/>
      <c r="AB3" s="690" t="str">
        <f>CONCATENATE("League Standings after Round ",$C$2)</f>
        <v>League Standings after Round 05</v>
      </c>
      <c r="AC3" s="691"/>
      <c r="AD3" s="691"/>
      <c r="AE3" s="691"/>
      <c r="AF3" s="691"/>
      <c r="AG3" s="691"/>
      <c r="AH3" s="691"/>
      <c r="AI3" s="691"/>
      <c r="AJ3" s="479"/>
      <c r="AK3" s="479"/>
      <c r="AL3" s="472"/>
      <c r="AM3" s="76"/>
      <c r="AN3" s="715" t="s">
        <v>492</v>
      </c>
      <c r="AO3" s="715"/>
      <c r="AP3" s="715"/>
      <c r="AQ3" s="715"/>
      <c r="AR3" s="76"/>
      <c r="AS3" s="76"/>
      <c r="AT3" s="76"/>
      <c r="AU3" s="76"/>
      <c r="AV3" s="76"/>
      <c r="AW3" s="76"/>
    </row>
    <row r="4" spans="1:49" ht="27" customHeight="1">
      <c r="B4" s="76"/>
      <c r="C4" s="217" t="s">
        <v>214</v>
      </c>
      <c r="D4" s="291" t="s">
        <v>264</v>
      </c>
      <c r="E4" s="292" t="s">
        <v>265</v>
      </c>
      <c r="F4" s="133" t="s">
        <v>165</v>
      </c>
      <c r="G4" s="279" t="s">
        <v>266</v>
      </c>
      <c r="H4" s="280" t="s">
        <v>127</v>
      </c>
      <c r="I4" s="140"/>
      <c r="J4" s="319"/>
      <c r="K4" s="418" t="s">
        <v>102</v>
      </c>
      <c r="L4" s="699" t="s">
        <v>165</v>
      </c>
      <c r="M4" s="692"/>
      <c r="N4" s="489" t="s">
        <v>503</v>
      </c>
      <c r="O4" s="488" t="s">
        <v>219</v>
      </c>
      <c r="P4" s="489" t="s">
        <v>449</v>
      </c>
      <c r="Q4" s="489" t="s">
        <v>442</v>
      </c>
      <c r="R4" s="483" t="s">
        <v>440</v>
      </c>
      <c r="S4" s="484" t="s">
        <v>441</v>
      </c>
      <c r="T4" s="76"/>
      <c r="U4" s="76"/>
      <c r="V4" s="58" t="s">
        <v>221</v>
      </c>
      <c r="W4" s="58" t="s">
        <v>165</v>
      </c>
      <c r="X4" s="58" t="s">
        <v>13</v>
      </c>
      <c r="Y4" s="58" t="s">
        <v>53</v>
      </c>
      <c r="Z4" s="76"/>
      <c r="AA4" s="391"/>
      <c r="AB4" s="708" t="s">
        <v>215</v>
      </c>
      <c r="AC4" s="709"/>
      <c r="AD4" s="425"/>
      <c r="AE4" s="708" t="s">
        <v>216</v>
      </c>
      <c r="AF4" s="709"/>
      <c r="AG4" s="425"/>
      <c r="AH4" s="708" t="s">
        <v>217</v>
      </c>
      <c r="AI4" s="709"/>
      <c r="AJ4" s="425"/>
      <c r="AK4" s="708" t="s">
        <v>218</v>
      </c>
      <c r="AL4" s="709"/>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3" t="s">
        <v>215</v>
      </c>
      <c r="C5" s="218">
        <v>1</v>
      </c>
      <c r="D5" s="293">
        <f>INDEX(Table!I:I,MATCH($A5,Table!$B:$B,0))</f>
        <v>27.800000000000004</v>
      </c>
      <c r="E5" s="137">
        <f>INDEX(Table!J:J,MATCH($A5,Table!$B:$B,0))</f>
        <v>7</v>
      </c>
      <c r="F5" s="138" t="str">
        <f>INDEX(Table!F:F,MATCH($A5,Table!$B:$B,0))</f>
        <v>Simon Greenhalgh</v>
      </c>
      <c r="G5" s="293">
        <f>INDEX(Table!K:K,MATCH($A5,Table!$B:$B,0))</f>
        <v>5.6</v>
      </c>
      <c r="H5" s="137">
        <f>INDEX(Table!L:L,MATCH($A5,Table!$B:$B,0))</f>
        <v>2</v>
      </c>
      <c r="I5" s="139"/>
      <c r="J5" s="548">
        <v>1</v>
      </c>
      <c r="K5" s="219">
        <v>10</v>
      </c>
      <c r="L5" s="703" t="str">
        <f>INDEX(Weekly!E:E,MATCH($J5,Weekly!$B:$B,0))</f>
        <v>Chris Bow</v>
      </c>
      <c r="M5" s="704"/>
      <c r="N5" s="490">
        <f>INDEX(Weekly!A:A,MATCH($L5,Weekly!$E:$E,0))</f>
        <v>4</v>
      </c>
      <c r="O5" s="593" t="str">
        <f>INDEX(Weekly!D:D,MATCH($L5,Weekly!$E:$E,0))</f>
        <v>C</v>
      </c>
      <c r="P5" s="593">
        <f>INDEX(Table!D:D,MATCH($L5,Table!$F:$F,0))</f>
        <v>1</v>
      </c>
      <c r="Q5" s="494">
        <f>INDEX(Weekly!F:F,MATCH($L5,Weekly!$E:$E,0))</f>
        <v>14.516666666666666</v>
      </c>
      <c r="R5" s="498">
        <f>INDEX(Weekly!I:I,MATCH($L5,Weekly!$E:$E,0))</f>
        <v>3</v>
      </c>
      <c r="S5" s="353">
        <f>INDEX(Weekly!H:H,MATCH($L5,Weekly!$E:$E,0))</f>
        <v>24.64</v>
      </c>
      <c r="T5" s="76"/>
      <c r="U5" s="76">
        <v>1</v>
      </c>
      <c r="V5" s="76"/>
      <c r="W5" s="76"/>
      <c r="X5" s="76"/>
      <c r="Y5" s="76"/>
      <c r="Z5" s="76"/>
      <c r="AA5" s="392" t="s">
        <v>38</v>
      </c>
      <c r="AB5" s="395" t="str">
        <f>INDEX(Table!$F:$F,MATCH(AA5,Table!$B:$B,0))</f>
        <v>Simon Greenhalgh</v>
      </c>
      <c r="AC5" s="396">
        <f>INDEX(Table!$I:$I,MATCH(AA5,Table!$B:$B,0))</f>
        <v>27.800000000000004</v>
      </c>
      <c r="AD5" s="397" t="s">
        <v>232</v>
      </c>
      <c r="AE5" s="431" t="str">
        <f>INDEX(Table!$F:$F,MATCH(AD5,Table!$B:$B,0))</f>
        <v>Ben Rosser</v>
      </c>
      <c r="AF5" s="396">
        <f>INDEX(Table!$I:$I,MATCH(AD5,Table!$B:$B,0))</f>
        <v>20.70218181818182</v>
      </c>
      <c r="AG5" s="397" t="s">
        <v>237</v>
      </c>
      <c r="AH5" s="431" t="str">
        <f>INDEX(Table!$F:$F,MATCH(AG5,Table!$B:$B,0))</f>
        <v>Chris Bow</v>
      </c>
      <c r="AI5" s="396">
        <f>INDEX(Table!$I:$I,MATCH(AG5,Table!$B:$B,0))</f>
        <v>14.516666666666666</v>
      </c>
      <c r="AJ5" s="397" t="s">
        <v>36</v>
      </c>
      <c r="AK5" s="431" t="e">
        <f>INDEX(Table!$F:$F,MATCH(AJ5,Table!$B:$B,0))</f>
        <v>#N/A</v>
      </c>
      <c r="AL5" s="396" t="e">
        <f>INDEX(Table!$I:$I,MATCH(AJ5,Table!$B:$B,0))</f>
        <v>#N/A</v>
      </c>
      <c r="AM5" s="76"/>
      <c r="AN5" s="573" t="str">
        <f>IF(AB5="","",AB5)</f>
        <v>Simon Greenhalgh</v>
      </c>
      <c r="AO5" s="573" t="str">
        <f t="shared" ref="AO5:AO20" si="0">IF(AE5="","",AE5)</f>
        <v>Ben Rosser</v>
      </c>
      <c r="AP5" s="573" t="str">
        <f t="shared" ref="AP5:AP16" si="1">IF(AH5="","",AH5)</f>
        <v>Chris Bow</v>
      </c>
      <c r="AQ5" s="573" t="e">
        <f t="shared" ref="AQ5:AQ20" si="2">IF(AK5="","",AK5)</f>
        <v>#N/A</v>
      </c>
      <c r="AR5" s="76"/>
      <c r="AS5" s="76"/>
      <c r="AT5" s="76"/>
      <c r="AU5" s="76"/>
      <c r="AV5" s="76"/>
      <c r="AW5" s="76"/>
    </row>
    <row r="6" spans="1:49" ht="18" customHeight="1">
      <c r="A6" s="8" t="s">
        <v>39</v>
      </c>
      <c r="B6" s="694"/>
      <c r="C6" s="218">
        <v>2</v>
      </c>
      <c r="D6" s="293">
        <f>INDEX(Table!I:I,MATCH($A6,Table!$B:$B,0))</f>
        <v>-4.1271428571428581</v>
      </c>
      <c r="E6" s="137">
        <f>INDEX(Table!J:J,MATCH($A6,Table!$B:$B,0))</f>
        <v>9</v>
      </c>
      <c r="F6" s="138" t="str">
        <f>INDEX(Table!F:F,MATCH($A6,Table!$B:$B,0))</f>
        <v>Lennie Bow</v>
      </c>
      <c r="G6" s="293">
        <f>INDEX(Table!K:K,MATCH($A6,Table!$B:$B,0))</f>
        <v>-7</v>
      </c>
      <c r="H6" s="137">
        <f>INDEX(Table!L:L,MATCH($A6,Table!$B:$B,0))</f>
        <v>0</v>
      </c>
      <c r="I6" s="139"/>
      <c r="J6" s="548">
        <v>2</v>
      </c>
      <c r="K6" s="219">
        <v>5</v>
      </c>
      <c r="L6" s="705" t="str">
        <f>INDEX(Weekly!E:E,MATCH($J6,Weekly!$B:$B,0))</f>
        <v>Andy White</v>
      </c>
      <c r="M6" s="706"/>
      <c r="N6" s="490">
        <f>INDEX(Weekly!A:A,MATCH($L6,Weekly!$E:$E,0))</f>
        <v>7</v>
      </c>
      <c r="O6" s="593" t="str">
        <f>INDEX(Weekly!D:D,MATCH($L6,Weekly!$E:$E,0))</f>
        <v>C</v>
      </c>
      <c r="P6" s="593">
        <f>INDEX(Table!D:D,MATCH($L6,Table!$F:$F,0))</f>
        <v>3</v>
      </c>
      <c r="Q6" s="494">
        <f>INDEX(Weekly!F:F,MATCH($L6,Weekly!$E:$E,0))</f>
        <v>0.40636363636363626</v>
      </c>
      <c r="R6" s="498">
        <f>INDEX(Weekly!I:I,MATCH($L6,Weekly!$E:$E,0))</f>
        <v>3</v>
      </c>
      <c r="S6" s="353">
        <f>INDEX(Weekly!H:H,MATCH($L6,Weekly!$E:$E,0))</f>
        <v>23.156363636363636</v>
      </c>
      <c r="T6" s="76"/>
      <c r="U6" s="76">
        <v>2</v>
      </c>
      <c r="V6" s="76"/>
      <c r="W6" s="76"/>
      <c r="X6" s="76"/>
      <c r="Y6" s="76"/>
      <c r="Z6" s="76"/>
      <c r="AA6" s="392" t="s">
        <v>39</v>
      </c>
      <c r="AB6" s="395" t="str">
        <f>INDEX(Table!F:F,MATCH(AA6,Table!$B:$B,0))</f>
        <v>Lennie Bow</v>
      </c>
      <c r="AC6" s="396">
        <f>INDEX(Table!I:I,MATCH(AA6,Table!$B:$B,0))</f>
        <v>-4.1271428571428581</v>
      </c>
      <c r="AD6" s="397" t="s">
        <v>233</v>
      </c>
      <c r="AE6" s="431" t="str">
        <f>INDEX(Table!$F:$F,MATCH(AD6,Table!$B:$B,0))</f>
        <v>Alan Rogers</v>
      </c>
      <c r="AF6" s="396">
        <f>INDEX(Table!$I:$I,MATCH(AD6,Table!$B:$B,0))</f>
        <v>20.110000000000014</v>
      </c>
      <c r="AG6" s="397" t="s">
        <v>238</v>
      </c>
      <c r="AH6" s="431" t="str">
        <f>INDEX(Table!$F:$F,MATCH(AG6,Table!$B:$B,0))</f>
        <v>Paul Fairhurst</v>
      </c>
      <c r="AI6" s="396">
        <f>INDEX(Table!$I:$I,MATCH(AG6,Table!$B:$B,0))</f>
        <v>12.430000000000003</v>
      </c>
      <c r="AJ6" s="397" t="s">
        <v>37</v>
      </c>
      <c r="AK6" s="431" t="e">
        <f>INDEX(Table!$F:$F,MATCH(AJ6,Table!$B:$B,0))</f>
        <v>#N/A</v>
      </c>
      <c r="AL6" s="396" t="e">
        <f>INDEX(Table!$I:$I,MATCH(AJ6,Table!$B:$B,0))</f>
        <v>#N/A</v>
      </c>
      <c r="AM6" s="76"/>
      <c r="AN6" s="573" t="str">
        <f t="shared" ref="AN6:AN20" si="3">IF(AB6="","",AB6)</f>
        <v>Lennie Bow</v>
      </c>
      <c r="AO6" s="573" t="str">
        <f t="shared" si="0"/>
        <v>Alan Rogers</v>
      </c>
      <c r="AP6" s="573" t="str">
        <f t="shared" si="1"/>
        <v>Paul Fairhurst</v>
      </c>
      <c r="AQ6" s="573" t="e">
        <f t="shared" si="2"/>
        <v>#N/A</v>
      </c>
      <c r="AR6" s="76"/>
      <c r="AS6" s="76"/>
      <c r="AT6" s="76"/>
      <c r="AU6" s="76"/>
      <c r="AV6" s="76"/>
      <c r="AW6" s="76"/>
    </row>
    <row r="7" spans="1:49" ht="18" customHeight="1">
      <c r="A7" s="8" t="s">
        <v>229</v>
      </c>
      <c r="B7" s="694"/>
      <c r="C7" s="218">
        <v>3</v>
      </c>
      <c r="D7" s="293">
        <f>INDEX(Table!I:I,MATCH($A7,Table!$B:$B,0))</f>
        <v>-5.0166666666666648</v>
      </c>
      <c r="E7" s="137">
        <f>INDEX(Table!J:J,MATCH($A7,Table!$B:$B,0))</f>
        <v>5</v>
      </c>
      <c r="F7" s="138" t="str">
        <f>INDEX(Table!F:F,MATCH($A7,Table!$B:$B,0))</f>
        <v>Paul Adderley</v>
      </c>
      <c r="G7" s="293">
        <f>INDEX(Table!K:K,MATCH($A7,Table!$B:$B,0))</f>
        <v>-1.8666666666666671</v>
      </c>
      <c r="H7" s="137">
        <f>INDEX(Table!L:L,MATCH($A7,Table!$B:$B,0))</f>
        <v>2</v>
      </c>
      <c r="I7" s="139"/>
      <c r="J7" s="548">
        <v>3</v>
      </c>
      <c r="K7" s="219">
        <v>5</v>
      </c>
      <c r="L7" s="705" t="str">
        <f>INDEX(Weekly!E:E,MATCH($J7,Weekly!$B:$B,0))</f>
        <v>Dan Gibbard</v>
      </c>
      <c r="M7" s="706"/>
      <c r="N7" s="490">
        <f>INDEX(Weekly!A:A,MATCH($L7,Weekly!$E:$E,0))</f>
        <v>18</v>
      </c>
      <c r="O7" s="593" t="str">
        <f>INDEX(Weekly!D:D,MATCH($L7,Weekly!$E:$E,0))</f>
        <v>A</v>
      </c>
      <c r="P7" s="593">
        <f>INDEX(Table!D:D,MATCH($L7,Table!$F:$F,0))</f>
        <v>8</v>
      </c>
      <c r="Q7" s="494">
        <f>INDEX(Weekly!F:F,MATCH($L7,Weekly!$E:$E,0))</f>
        <v>-10.95</v>
      </c>
      <c r="R7" s="498">
        <f>INDEX(Weekly!I:I,MATCH($L7,Weekly!$E:$E,0))</f>
        <v>2</v>
      </c>
      <c r="S7" s="353">
        <f>INDEX(Weekly!H:H,MATCH($L7,Weekly!$E:$E,0))</f>
        <v>15.5</v>
      </c>
      <c r="T7" s="76"/>
      <c r="U7" s="76">
        <v>3</v>
      </c>
      <c r="V7" s="76"/>
      <c r="W7" s="76"/>
      <c r="X7" s="76"/>
      <c r="Y7" s="76"/>
      <c r="Z7" s="76"/>
      <c r="AA7" s="392" t="s">
        <v>229</v>
      </c>
      <c r="AB7" s="395" t="str">
        <f>INDEX(Table!F:F,MATCH(AA7,Table!$B:$B,0))</f>
        <v>Paul Adderley</v>
      </c>
      <c r="AC7" s="396">
        <f>INDEX(Table!I:I,MATCH(AA7,Table!$B:$B,0))</f>
        <v>-5.0166666666666648</v>
      </c>
      <c r="AD7" s="397" t="s">
        <v>234</v>
      </c>
      <c r="AE7" s="431" t="str">
        <f>INDEX(Table!$F:$F,MATCH(AD7,Table!$B:$B,0))</f>
        <v>Martin Tarbuck</v>
      </c>
      <c r="AF7" s="396">
        <f>INDEX(Table!$I:$I,MATCH(AD7,Table!$B:$B,0))</f>
        <v>2.1981111111111131</v>
      </c>
      <c r="AG7" s="397" t="s">
        <v>239</v>
      </c>
      <c r="AH7" s="431" t="str">
        <f>INDEX(Table!$F:$F,MATCH(AG7,Table!$B:$B,0))</f>
        <v>Andy White</v>
      </c>
      <c r="AI7" s="396">
        <f>INDEX(Table!$I:$I,MATCH(AG7,Table!$B:$B,0))</f>
        <v>0.40636363636363626</v>
      </c>
      <c r="AJ7" s="397" t="s">
        <v>242</v>
      </c>
      <c r="AK7" s="431" t="e">
        <f>INDEX(Table!$F:$F,MATCH(AJ7,Table!$B:$B,0))</f>
        <v>#N/A</v>
      </c>
      <c r="AL7" s="396" t="e">
        <f>INDEX(Table!$I:$I,MATCH(AJ7,Table!$B:$B,0))</f>
        <v>#N/A</v>
      </c>
      <c r="AM7" s="76"/>
      <c r="AN7" s="573" t="str">
        <f t="shared" si="3"/>
        <v>Paul Adderley</v>
      </c>
      <c r="AO7" s="573" t="str">
        <f t="shared" si="0"/>
        <v>Martin Tarbuck</v>
      </c>
      <c r="AP7" s="573" t="str">
        <f t="shared" si="1"/>
        <v>Andy White</v>
      </c>
      <c r="AQ7" s="573" t="e">
        <f t="shared" si="2"/>
        <v>#N/A</v>
      </c>
      <c r="AR7" s="76"/>
      <c r="AS7" s="76"/>
      <c r="AT7" s="76"/>
      <c r="AU7" s="76"/>
      <c r="AV7" s="76"/>
      <c r="AW7" s="76"/>
    </row>
    <row r="8" spans="1:49" ht="18" customHeight="1" thickBot="1">
      <c r="A8" s="8" t="s">
        <v>230</v>
      </c>
      <c r="B8" s="694"/>
      <c r="C8" s="218">
        <v>4</v>
      </c>
      <c r="D8" s="293">
        <f>INDEX(Table!I:I,MATCH($A8,Table!$B:$B,0))</f>
        <v>-6.2275000000000027</v>
      </c>
      <c r="E8" s="137">
        <f>INDEX(Table!J:J,MATCH($A8,Table!$B:$B,0))</f>
        <v>8</v>
      </c>
      <c r="F8" s="138" t="str">
        <f>INDEX(Table!F:F,MATCH($A8,Table!$B:$B,0))</f>
        <v>Alan White</v>
      </c>
      <c r="G8" s="293">
        <f>INDEX(Table!K:K,MATCH($A8,Table!$B:$B,0))</f>
        <v>-0.40000000000000036</v>
      </c>
      <c r="H8" s="137">
        <f>INDEX(Table!L:L,MATCH($A8,Table!$B:$B,0))</f>
        <v>2</v>
      </c>
      <c r="I8" s="548"/>
      <c r="J8" s="548">
        <v>4</v>
      </c>
      <c r="K8" s="290">
        <v>5</v>
      </c>
      <c r="L8" s="712" t="str">
        <f>INDEX(Weekly!E:E,MATCH($J8,Weekly!$B:$B,0))</f>
        <v>Paul Fairhurst</v>
      </c>
      <c r="M8" s="713"/>
      <c r="N8" s="491">
        <f>INDEX(Weekly!A:A,MATCH($L8,Weekly!$E:$E,0))</f>
        <v>5</v>
      </c>
      <c r="O8" s="594" t="str">
        <f>INDEX(Weekly!D:D,MATCH($L8,Weekly!$E:$E,0))</f>
        <v>C</v>
      </c>
      <c r="P8" s="594">
        <f>INDEX(Table!D:D,MATCH($L8,Table!$F:$F,0))</f>
        <v>2</v>
      </c>
      <c r="Q8" s="495">
        <f>INDEX(Weekly!F:F,MATCH($L8,Weekly!$E:$E,0))</f>
        <v>12.430000000000003</v>
      </c>
      <c r="R8" s="499">
        <f>INDEX(Weekly!I:I,MATCH($L8,Weekly!$E:$E,0))</f>
        <v>2</v>
      </c>
      <c r="S8" s="424">
        <f>INDEX(Weekly!H:H,MATCH($L8,Weekly!$E:$E,0))</f>
        <v>11.270000000000003</v>
      </c>
      <c r="T8" s="76"/>
      <c r="U8" s="76">
        <v>4</v>
      </c>
      <c r="V8" s="76"/>
      <c r="W8" s="76"/>
      <c r="X8" s="76"/>
      <c r="Y8" s="76"/>
      <c r="Z8" s="76"/>
      <c r="AA8" s="392" t="s">
        <v>230</v>
      </c>
      <c r="AB8" s="395" t="str">
        <f>INDEX(Table!F:F,MATCH(AA8,Table!$B:$B,0))</f>
        <v>Alan White</v>
      </c>
      <c r="AC8" s="396">
        <f>INDEX(Table!I:I,MATCH(AA8,Table!$B:$B,0))</f>
        <v>-6.2275000000000027</v>
      </c>
      <c r="AD8" s="397" t="s">
        <v>235</v>
      </c>
      <c r="AE8" s="431" t="str">
        <f>INDEX(Table!$F:$F,MATCH(AD8,Table!$B:$B,0))</f>
        <v>Mark Saunders</v>
      </c>
      <c r="AF8" s="396">
        <f>INDEX(Table!$I:$I,MATCH(AD8,Table!$B:$B,0))</f>
        <v>-2.5642857142857149</v>
      </c>
      <c r="AG8" s="397" t="s">
        <v>240</v>
      </c>
      <c r="AH8" s="431" t="str">
        <f>INDEX(Table!$F:$F,MATCH(AG8,Table!$B:$B,0))</f>
        <v>Vinny Topping</v>
      </c>
      <c r="AI8" s="396">
        <f>INDEX(Table!$I:$I,MATCH(AG8,Table!$B:$B,0))</f>
        <v>-0.76545454545454383</v>
      </c>
      <c r="AJ8" s="397" t="s">
        <v>307</v>
      </c>
      <c r="AK8" s="431" t="e">
        <f>INDEX(Table!$F:$F,MATCH(AJ8,Table!$B:$B,0))</f>
        <v>#N/A</v>
      </c>
      <c r="AL8" s="396" t="e">
        <f>INDEX(Table!$I:$I,MATCH(AJ8,Table!$B:$B,0))</f>
        <v>#N/A</v>
      </c>
      <c r="AM8" s="76"/>
      <c r="AN8" s="573" t="str">
        <f t="shared" si="3"/>
        <v>Alan White</v>
      </c>
      <c r="AO8" s="573" t="str">
        <f t="shared" si="0"/>
        <v>Mark Saunders</v>
      </c>
      <c r="AP8" s="573" t="str">
        <f t="shared" si="1"/>
        <v>Vinny Topping</v>
      </c>
      <c r="AQ8" s="573" t="e">
        <f t="shared" si="2"/>
        <v>#N/A</v>
      </c>
      <c r="AR8" s="76"/>
      <c r="AS8" s="76"/>
      <c r="AT8" s="76"/>
      <c r="AU8" s="76"/>
      <c r="AV8" s="76"/>
      <c r="AW8" s="76"/>
    </row>
    <row r="9" spans="1:49" ht="18" customHeight="1" thickTop="1">
      <c r="A9" s="8" t="s">
        <v>231</v>
      </c>
      <c r="B9" s="694"/>
      <c r="C9" s="218">
        <v>5</v>
      </c>
      <c r="D9" s="293">
        <f>INDEX(Table!I:I,MATCH($A9,Table!$B:$B,0))</f>
        <v>-8.2399999999999967</v>
      </c>
      <c r="E9" s="137">
        <f>INDEX(Table!J:J,MATCH($A9,Table!$B:$B,0))</f>
        <v>5</v>
      </c>
      <c r="F9" s="138" t="str">
        <f>INDEX(Table!F:F,MATCH($A9,Table!$B:$B,0))</f>
        <v>Gerard Ventom</v>
      </c>
      <c r="G9" s="293">
        <f>INDEX(Table!K:K,MATCH($A9,Table!$B:$B,0))</f>
        <v>7.120000000000001</v>
      </c>
      <c r="H9" s="137">
        <f>INDEX(Table!L:L,MATCH($A9,Table!$B:$B,0))</f>
        <v>2</v>
      </c>
      <c r="I9" s="548"/>
      <c r="J9" s="548">
        <v>5</v>
      </c>
      <c r="K9" s="289"/>
      <c r="L9" s="710" t="str">
        <f>INDEX(Weekly!E:E,MATCH($J9,Weekly!$B:$B,0))</f>
        <v>Martin Tarbuck</v>
      </c>
      <c r="M9" s="711"/>
      <c r="N9" s="492">
        <f>INDEX(Weekly!A:A,MATCH($L9,Weekly!$E:$E,0))</f>
        <v>6</v>
      </c>
      <c r="O9" s="595" t="str">
        <f>INDEX(Weekly!D:D,MATCH($L9,Weekly!$E:$E,0))</f>
        <v>B</v>
      </c>
      <c r="P9" s="595">
        <f>INDEX(Table!D:D,MATCH($L9,Table!$F:$F,0))</f>
        <v>3</v>
      </c>
      <c r="Q9" s="496">
        <f>INDEX(Weekly!F:F,MATCH($L9,Weekly!$E:$E,0))</f>
        <v>2.1981111111111131</v>
      </c>
      <c r="R9" s="500">
        <f>INDEX(Weekly!I:I,MATCH($L9,Weekly!$E:$E,0))</f>
        <v>3</v>
      </c>
      <c r="S9" s="354">
        <f>INDEX(Weekly!H:H,MATCH($L9,Weekly!$E:$E,0))</f>
        <v>9.1120000000000019</v>
      </c>
      <c r="T9" s="76"/>
      <c r="U9" s="76">
        <v>5</v>
      </c>
      <c r="V9" s="76"/>
      <c r="W9" s="76"/>
      <c r="X9" s="76"/>
      <c r="Y9" s="76"/>
      <c r="Z9" s="76"/>
      <c r="AA9" s="392" t="s">
        <v>231</v>
      </c>
      <c r="AB9" s="395" t="str">
        <f>INDEX(Table!F:F,MATCH(AA9,Table!$B:$B,0))</f>
        <v>Gerard Ventom</v>
      </c>
      <c r="AC9" s="396">
        <f>INDEX(Table!I:I,MATCH(AA9,Table!$B:$B,0))</f>
        <v>-8.2399999999999967</v>
      </c>
      <c r="AD9" s="397" t="s">
        <v>236</v>
      </c>
      <c r="AE9" s="431" t="str">
        <f>INDEX(Table!$F:$F,MATCH(AD9,Table!$B:$B,0))</f>
        <v>Nick Blocksidge</v>
      </c>
      <c r="AF9" s="396">
        <f>INDEX(Table!$I:$I,MATCH(AD9,Table!$B:$B,0))</f>
        <v>-2.9664646464646456</v>
      </c>
      <c r="AG9" s="397" t="s">
        <v>241</v>
      </c>
      <c r="AH9" s="431" t="str">
        <f>INDEX(Table!$F:$F,MATCH(AG9,Table!$B:$B,0))</f>
        <v>Frank Allen</v>
      </c>
      <c r="AI9" s="396">
        <f>INDEX(Table!$I:$I,MATCH(AG9,Table!$B:$B,0))</f>
        <v>-2.7861471861471863</v>
      </c>
      <c r="AJ9" s="397" t="s">
        <v>243</v>
      </c>
      <c r="AK9" s="431" t="e">
        <f>INDEX(Table!$F:$F,MATCH(AJ9,Table!$B:$B,0))</f>
        <v>#N/A</v>
      </c>
      <c r="AL9" s="396" t="e">
        <f>INDEX(Table!$I:$I,MATCH(AJ9,Table!$B:$B,0))</f>
        <v>#N/A</v>
      </c>
      <c r="AM9" s="76"/>
      <c r="AN9" s="573" t="str">
        <f t="shared" si="3"/>
        <v>Gerard Ventom</v>
      </c>
      <c r="AO9" s="573" t="str">
        <f t="shared" si="0"/>
        <v>Nick Blocksidge</v>
      </c>
      <c r="AP9" s="573" t="str">
        <f t="shared" si="1"/>
        <v>Frank Allen</v>
      </c>
      <c r="AQ9" s="573" t="e">
        <f t="shared" si="2"/>
        <v>#N/A</v>
      </c>
      <c r="AR9" s="76"/>
      <c r="AS9" s="76"/>
      <c r="AT9" s="76"/>
      <c r="AU9" s="76"/>
      <c r="AV9" s="76"/>
      <c r="AW9" s="76"/>
    </row>
    <row r="10" spans="1:49" ht="18" customHeight="1" thickBot="1">
      <c r="A10" s="8" t="s">
        <v>302</v>
      </c>
      <c r="B10" s="695"/>
      <c r="C10" s="218">
        <v>6</v>
      </c>
      <c r="D10" s="297">
        <f>INDEX(Table!I:I,MATCH($A10,Table!$B:$B,0))</f>
        <v>-10.205</v>
      </c>
      <c r="E10" s="298">
        <f>INDEX(Table!J:J,MATCH($A10,Table!$B:$B,0))</f>
        <v>7</v>
      </c>
      <c r="F10" s="299" t="str">
        <f>INDEX(Table!F:F,MATCH($A10,Table!$B:$B,0))</f>
        <v>Chris Luck</v>
      </c>
      <c r="G10" s="297">
        <f>INDEX(Table!K:K,MATCH($A10,Table!$B:$B,0))</f>
        <v>-4.8499999999999996</v>
      </c>
      <c r="H10" s="298">
        <f>INDEX(Table!L:L,MATCH($A10,Table!$B:$B,0))</f>
        <v>1</v>
      </c>
      <c r="I10" s="548"/>
      <c r="J10" s="548">
        <v>6</v>
      </c>
      <c r="K10" s="219"/>
      <c r="L10" s="697" t="str">
        <f>INDEX(Weekly!E:E,MATCH($J10,Weekly!$B:$B,0))</f>
        <v>Gerard Ventom</v>
      </c>
      <c r="M10" s="698"/>
      <c r="N10" s="490">
        <f>INDEX(Weekly!A:A,MATCH($L10,Weekly!$E:$E,0))</f>
        <v>15</v>
      </c>
      <c r="O10" s="593" t="str">
        <f>INDEX(Weekly!D:D,MATCH($L10,Weekly!$E:$E,0))</f>
        <v>A</v>
      </c>
      <c r="P10" s="593">
        <f>INDEX(Table!D:D,MATCH($L10,Table!$F:$F,0))</f>
        <v>5</v>
      </c>
      <c r="Q10" s="494">
        <f>INDEX(Weekly!F:F,MATCH($L10,Weekly!$E:$E,0))</f>
        <v>-8.2399999999999967</v>
      </c>
      <c r="R10" s="501">
        <f>INDEX(Weekly!I:I,MATCH($L10,Weekly!$E:$E,0))</f>
        <v>2</v>
      </c>
      <c r="S10" s="354">
        <f>INDEX(Weekly!H:H,MATCH($L10,Weekly!$E:$E,0))</f>
        <v>7.120000000000001</v>
      </c>
      <c r="T10" s="76"/>
      <c r="U10" s="76">
        <v>6</v>
      </c>
      <c r="V10" s="76"/>
      <c r="W10" s="76"/>
      <c r="X10" s="76"/>
      <c r="Y10" s="76"/>
      <c r="Z10" s="76"/>
      <c r="AA10" s="393" t="s">
        <v>302</v>
      </c>
      <c r="AB10" s="398" t="str">
        <f>INDEX(Table!F:F,MATCH(AA10,Table!$B:$B,0))</f>
        <v>Chris Luck</v>
      </c>
      <c r="AC10" s="399">
        <f>INDEX(Table!I:I,MATCH(AA10,Table!$B:$B,0))</f>
        <v>-10.205</v>
      </c>
      <c r="AD10" s="400" t="s">
        <v>303</v>
      </c>
      <c r="AE10" s="432" t="str">
        <f>INDEX(Table!$F:$F,MATCH(AD10,Table!$B:$B,0))</f>
        <v>Barry Birchall</v>
      </c>
      <c r="AF10" s="399">
        <f>INDEX(Table!$I:$I,MATCH(AD10,Table!$B:$B,0))</f>
        <v>-11.451719576719578</v>
      </c>
      <c r="AG10" s="400" t="s">
        <v>304</v>
      </c>
      <c r="AH10" s="432" t="str">
        <f>INDEX(Table!$F:$F,MATCH(AG10,Table!$B:$B,0))</f>
        <v>Steve Carter</v>
      </c>
      <c r="AI10" s="399">
        <f>INDEX(Table!$I:$I,MATCH(AG10,Table!$B:$B,0))</f>
        <v>-12.134999999999998</v>
      </c>
      <c r="AJ10" s="400" t="s">
        <v>305</v>
      </c>
      <c r="AK10" s="432" t="e">
        <f>INDEX(Table!$F:$F,MATCH(AJ10,Table!$B:$B,0))</f>
        <v>#N/A</v>
      </c>
      <c r="AL10" s="399" t="e">
        <f>INDEX(Table!$I:$I,MATCH(AJ10,Table!$B:$B,0))</f>
        <v>#N/A</v>
      </c>
      <c r="AM10" s="76"/>
      <c r="AN10" s="573" t="str">
        <f t="shared" si="3"/>
        <v>Chris Luck</v>
      </c>
      <c r="AO10" s="573" t="str">
        <f t="shared" si="0"/>
        <v>Barry Birchall</v>
      </c>
      <c r="AP10" s="573" t="str">
        <f t="shared" si="1"/>
        <v>Steve Carter</v>
      </c>
      <c r="AQ10" s="573" t="e">
        <f t="shared" si="2"/>
        <v>#N/A</v>
      </c>
      <c r="AR10" s="76"/>
      <c r="AS10" s="76"/>
      <c r="AT10" s="76"/>
      <c r="AU10" s="76"/>
      <c r="AV10" s="76"/>
      <c r="AW10" s="76"/>
    </row>
    <row r="11" spans="1:49" ht="18" customHeight="1" thickTop="1">
      <c r="A11" s="8" t="s">
        <v>232</v>
      </c>
      <c r="B11" s="693" t="s">
        <v>216</v>
      </c>
      <c r="C11" s="218">
        <v>1</v>
      </c>
      <c r="D11" s="294">
        <f>INDEX(Table!I:I,MATCH($A11,Table!$B:$B,0))</f>
        <v>20.70218181818182</v>
      </c>
      <c r="E11" s="295">
        <f>INDEX(Table!J:J,MATCH($A11,Table!$B:$B,0))</f>
        <v>6</v>
      </c>
      <c r="F11" s="296" t="str">
        <f>INDEX(Table!F:F,MATCH($A11,Table!$B:$B,0))</f>
        <v>Ben Rosser</v>
      </c>
      <c r="G11" s="294">
        <f>INDEX(Table!K:K,MATCH($A11,Table!$B:$B,0))</f>
        <v>4.2181818181818187</v>
      </c>
      <c r="H11" s="295">
        <f>INDEX(Table!L:L,MATCH($A11,Table!$B:$B,0))</f>
        <v>2</v>
      </c>
      <c r="I11" s="548"/>
      <c r="J11" s="548">
        <v>7</v>
      </c>
      <c r="K11" s="219"/>
      <c r="L11" s="697" t="str">
        <f>INDEX(Weekly!E:E,MATCH($J11,Weekly!$B:$B,0))</f>
        <v>Charlie Griffiths</v>
      </c>
      <c r="M11" s="698"/>
      <c r="N11" s="490">
        <f>INDEX(Weekly!A:A,MATCH($L11,Weekly!$E:$E,0))</f>
        <v>29</v>
      </c>
      <c r="O11" s="593" t="str">
        <f>INDEX(Weekly!D:D,MATCH($L11,Weekly!$E:$E,0))</f>
        <v>C</v>
      </c>
      <c r="P11" s="593">
        <f>INDEX(Table!D:D,MATCH($L11,Table!$F:$F,0))</f>
        <v>9</v>
      </c>
      <c r="Q11" s="494">
        <f>INDEX(Weekly!F:F,MATCH($L11,Weekly!$E:$E,0))</f>
        <v>-18.75</v>
      </c>
      <c r="R11" s="501">
        <f>INDEX(Weekly!I:I,MATCH($L11,Weekly!$E:$E,0))</f>
        <v>2</v>
      </c>
      <c r="S11" s="354">
        <f>INDEX(Weekly!H:H,MATCH($L11,Weekly!$E:$E,0))</f>
        <v>7.0500000000000007</v>
      </c>
      <c r="T11" s="76"/>
      <c r="U11" s="76">
        <v>7</v>
      </c>
      <c r="V11" s="76"/>
      <c r="W11" s="76"/>
      <c r="X11" s="76"/>
      <c r="Y11" s="76"/>
      <c r="Z11" s="76"/>
      <c r="AA11" s="394" t="s">
        <v>361</v>
      </c>
      <c r="AB11" s="401" t="str">
        <f>INDEX(Table!F:F,MATCH(AA11,Table!$B:$B,0))</f>
        <v>Gareth Powell</v>
      </c>
      <c r="AC11" s="403">
        <f>INDEX(Table!I:I,MATCH(AA11,Table!$B:$B,0))</f>
        <v>-10.85</v>
      </c>
      <c r="AD11" s="404" t="s">
        <v>370</v>
      </c>
      <c r="AE11" s="451" t="str">
        <f>INDEX(Table!$F:$F,MATCH(AD11,Table!$B:$B,0))</f>
        <v>Howard Bradley</v>
      </c>
      <c r="AF11" s="441">
        <f>INDEX(Table!$I:$I,MATCH(AD11,Table!$B:$B,0))</f>
        <v>-16.169090909090908</v>
      </c>
      <c r="AG11" s="442" t="s">
        <v>380</v>
      </c>
      <c r="AH11" s="455" t="str">
        <f>INDEX(Table!$F:$F,MATCH(AG11,Table!$B:$B,0))</f>
        <v>David Dunn</v>
      </c>
      <c r="AI11" s="441">
        <f>INDEX(Table!$I:$I,MATCH(AG11,Table!$B:$B,0))</f>
        <v>-13.397922077922077</v>
      </c>
      <c r="AJ11" s="442" t="s">
        <v>390</v>
      </c>
      <c r="AK11" s="458" t="e">
        <f>INDEX(Table!$F:$F,MATCH(AJ11,Table!$B:$B,0))</f>
        <v>#N/A</v>
      </c>
      <c r="AL11" s="403" t="e">
        <f>INDEX(Table!$I:$I,MATCH(AJ11,Table!$B:$B,0))</f>
        <v>#N/A</v>
      </c>
      <c r="AM11" s="76"/>
      <c r="AN11" s="573" t="str">
        <f t="shared" si="3"/>
        <v>Gareth Powell</v>
      </c>
      <c r="AO11" s="573" t="str">
        <f t="shared" si="0"/>
        <v>Howard Bradley</v>
      </c>
      <c r="AP11" s="573" t="str">
        <f t="shared" si="1"/>
        <v>David Dunn</v>
      </c>
      <c r="AQ11" s="573" t="e">
        <f t="shared" si="2"/>
        <v>#N/A</v>
      </c>
      <c r="AR11" s="76"/>
      <c r="AS11" s="76"/>
      <c r="AT11" s="76"/>
      <c r="AU11" s="76"/>
      <c r="AV11" s="76"/>
      <c r="AW11" s="76"/>
    </row>
    <row r="12" spans="1:49" ht="18" customHeight="1">
      <c r="A12" s="8" t="s">
        <v>233</v>
      </c>
      <c r="B12" s="694"/>
      <c r="C12" s="218">
        <v>2</v>
      </c>
      <c r="D12" s="293">
        <f>INDEX(Table!I:I,MATCH($A12,Table!$B:$B,0))</f>
        <v>20.110000000000014</v>
      </c>
      <c r="E12" s="137">
        <f>INDEX(Table!J:J,MATCH($A12,Table!$B:$B,0))</f>
        <v>6</v>
      </c>
      <c r="F12" s="138" t="str">
        <f>INDEX(Table!F:F,MATCH($A12,Table!$B:$B,0))</f>
        <v>Alan Rogers</v>
      </c>
      <c r="G12" s="293">
        <f>INDEX(Table!K:K,MATCH($A12,Table!$B:$B,0))</f>
        <v>-4.7</v>
      </c>
      <c r="H12" s="137">
        <f>INDEX(Table!L:L,MATCH($A12,Table!$B:$B,0))</f>
        <v>1</v>
      </c>
      <c r="I12" s="548"/>
      <c r="J12" s="548">
        <v>8</v>
      </c>
      <c r="K12" s="219"/>
      <c r="L12" s="697" t="str">
        <f>INDEX(Weekly!E:E,MATCH($J12,Weekly!$B:$B,0))</f>
        <v>Simon Greenhalgh</v>
      </c>
      <c r="M12" s="698"/>
      <c r="N12" s="490">
        <f>INDEX(Weekly!A:A,MATCH($L12,Weekly!$E:$E,0))</f>
        <v>1</v>
      </c>
      <c r="O12" s="593" t="str">
        <f>INDEX(Weekly!D:D,MATCH($L12,Weekly!$E:$E,0))</f>
        <v>A</v>
      </c>
      <c r="P12" s="593">
        <f>INDEX(Table!D:D,MATCH($L12,Table!$F:$F,0))</f>
        <v>1</v>
      </c>
      <c r="Q12" s="494">
        <f>INDEX(Weekly!F:F,MATCH($L12,Weekly!$E:$E,0))</f>
        <v>27.800000000000004</v>
      </c>
      <c r="R12" s="501">
        <f>INDEX(Weekly!I:I,MATCH($L12,Weekly!$E:$E,0))</f>
        <v>2</v>
      </c>
      <c r="S12" s="354">
        <f>INDEX(Weekly!H:H,MATCH($L12,Weekly!$E:$E,0))</f>
        <v>5.6</v>
      </c>
      <c r="T12" s="76"/>
      <c r="U12" s="76">
        <v>8</v>
      </c>
      <c r="V12" s="76"/>
      <c r="W12" s="76"/>
      <c r="X12" s="76"/>
      <c r="Y12" s="76"/>
      <c r="Z12" s="76"/>
      <c r="AA12" s="392" t="s">
        <v>362</v>
      </c>
      <c r="AB12" s="402" t="str">
        <f>INDEX(Table!F:F,MATCH(AA12,Table!$B:$B,0))</f>
        <v>Dan Gibbard</v>
      </c>
      <c r="AC12" s="406">
        <f>INDEX(Table!I:I,MATCH(AA12,Table!$B:$B,0))</f>
        <v>-10.95</v>
      </c>
      <c r="AD12" s="407" t="s">
        <v>371</v>
      </c>
      <c r="AE12" s="452" t="str">
        <f>INDEX(Table!$F:$F,MATCH(AD12,Table!$B:$B,0))</f>
        <v>Kevin Carter</v>
      </c>
      <c r="AF12" s="444">
        <f>INDEX(Table!$I:$I,MATCH(AD12,Table!$B:$B,0))</f>
        <v>-16.638888888888889</v>
      </c>
      <c r="AG12" s="445" t="s">
        <v>381</v>
      </c>
      <c r="AH12" s="453" t="str">
        <f>INDEX(Table!$F:$F,MATCH(AG12,Table!$B:$B,0))</f>
        <v>Paul Barnes</v>
      </c>
      <c r="AI12" s="444">
        <f>INDEX(Table!$I:$I,MATCH(AG12,Table!$B:$B,0))</f>
        <v>-14.288888888888888</v>
      </c>
      <c r="AJ12" s="445" t="s">
        <v>391</v>
      </c>
      <c r="AK12" s="456" t="e">
        <f>INDEX(Table!$F:$F,MATCH(AJ12,Table!$B:$B,0))</f>
        <v>#N/A</v>
      </c>
      <c r="AL12" s="406" t="e">
        <f>INDEX(Table!$I:$I,MATCH(AJ12,Table!$B:$B,0))</f>
        <v>#N/A</v>
      </c>
      <c r="AM12" s="76"/>
      <c r="AN12" s="573" t="str">
        <f t="shared" si="3"/>
        <v>Dan Gibbard</v>
      </c>
      <c r="AO12" s="573" t="str">
        <f t="shared" si="0"/>
        <v>Kevin Carter</v>
      </c>
      <c r="AP12" s="573" t="str">
        <f t="shared" si="1"/>
        <v>Paul Barnes</v>
      </c>
      <c r="AQ12" s="573" t="e">
        <f t="shared" si="2"/>
        <v>#N/A</v>
      </c>
      <c r="AR12" s="76"/>
      <c r="AS12" s="76"/>
      <c r="AT12" s="76"/>
      <c r="AU12" s="76"/>
      <c r="AV12" s="76"/>
      <c r="AW12" s="76"/>
    </row>
    <row r="13" spans="1:49" ht="18" customHeight="1">
      <c r="A13" s="8" t="s">
        <v>234</v>
      </c>
      <c r="B13" s="694"/>
      <c r="C13" s="218">
        <v>3</v>
      </c>
      <c r="D13" s="293">
        <f>INDEX(Table!I:I,MATCH($A13,Table!$B:$B,0))</f>
        <v>2.1981111111111131</v>
      </c>
      <c r="E13" s="137">
        <f>INDEX(Table!J:J,MATCH($A13,Table!$B:$B,0))</f>
        <v>9</v>
      </c>
      <c r="F13" s="138" t="str">
        <f>INDEX(Table!F:F,MATCH($A13,Table!$B:$B,0))</f>
        <v>Martin Tarbuck</v>
      </c>
      <c r="G13" s="293">
        <f>INDEX(Table!K:K,MATCH($A13,Table!$B:$B,0))</f>
        <v>9.1120000000000019</v>
      </c>
      <c r="H13" s="137">
        <f>INDEX(Table!L:L,MATCH($A13,Table!$B:$B,0))</f>
        <v>3</v>
      </c>
      <c r="I13" s="548"/>
      <c r="J13" s="548">
        <v>9</v>
      </c>
      <c r="K13" s="219"/>
      <c r="L13" s="697" t="str">
        <f>INDEX(Weekly!E:E,MATCH($J13,Weekly!$B:$B,0))</f>
        <v>Ben Rosser</v>
      </c>
      <c r="M13" s="698"/>
      <c r="N13" s="490">
        <f>INDEX(Weekly!A:A,MATCH($L13,Weekly!$E:$E,0))</f>
        <v>2</v>
      </c>
      <c r="O13" s="593" t="str">
        <f>INDEX(Weekly!D:D,MATCH($L13,Weekly!$E:$E,0))</f>
        <v>B</v>
      </c>
      <c r="P13" s="593">
        <f>INDEX(Table!D:D,MATCH($L13,Table!$F:$F,0))</f>
        <v>1</v>
      </c>
      <c r="Q13" s="494">
        <f>INDEX(Weekly!F:F,MATCH($L13,Weekly!$E:$E,0))</f>
        <v>20.70218181818182</v>
      </c>
      <c r="R13" s="501">
        <f>INDEX(Weekly!I:I,MATCH($L13,Weekly!$E:$E,0))</f>
        <v>2</v>
      </c>
      <c r="S13" s="354">
        <f>INDEX(Weekly!H:H,MATCH($L13,Weekly!$E:$E,0))</f>
        <v>4.2181818181818187</v>
      </c>
      <c r="T13" s="76"/>
      <c r="U13" s="76">
        <v>9</v>
      </c>
      <c r="V13" s="76"/>
      <c r="W13" s="76"/>
      <c r="X13" s="76"/>
      <c r="Y13" s="76"/>
      <c r="Z13" s="76"/>
      <c r="AA13" s="392" t="s">
        <v>397</v>
      </c>
      <c r="AB13" s="449" t="str">
        <f>INDEX(Table!F:F,MATCH(AA13,Table!$B:$B,0))</f>
        <v>Mark Bunn</v>
      </c>
      <c r="AC13" s="444">
        <f>INDEX(Table!I:I,MATCH(AA13,Table!$B:$B,0))</f>
        <v>-11.219999999999999</v>
      </c>
      <c r="AD13" s="445" t="s">
        <v>372</v>
      </c>
      <c r="AE13" s="453" t="str">
        <f>INDEX(Table!$F:$F,MATCH(AD13,Table!$B:$B,0))</f>
        <v>Steve Waterhouse</v>
      </c>
      <c r="AF13" s="444">
        <f>INDEX(Table!$I:$I,MATCH(AD13,Table!$B:$B,0))</f>
        <v>-18.286666666666669</v>
      </c>
      <c r="AG13" s="445" t="s">
        <v>382</v>
      </c>
      <c r="AH13" s="456" t="str">
        <f>INDEX(Table!$F:$F,MATCH(AG13,Table!$B:$B,0))</f>
        <v>Charlie Griffiths</v>
      </c>
      <c r="AI13" s="444">
        <f>INDEX(Table!$I:$I,MATCH(AG13,Table!$B:$B,0))</f>
        <v>-18.75</v>
      </c>
      <c r="AJ13" s="445" t="s">
        <v>392</v>
      </c>
      <c r="AK13" s="443" t="e">
        <f>INDEX(Table!$F:$F,MATCH(AJ13,Table!$B:$B,0))</f>
        <v>#N/A</v>
      </c>
      <c r="AL13" s="444" t="e">
        <f>INDEX(Table!$I:$I,MATCH(AJ13,Table!$B:$B,0))</f>
        <v>#N/A</v>
      </c>
      <c r="AM13" s="76"/>
      <c r="AN13" s="573" t="str">
        <f t="shared" si="3"/>
        <v>Mark Bunn</v>
      </c>
      <c r="AO13" s="573" t="str">
        <f t="shared" si="0"/>
        <v>Steve Waterhouse</v>
      </c>
      <c r="AP13" s="573" t="str">
        <f t="shared" si="1"/>
        <v>Charlie Griffiths</v>
      </c>
      <c r="AQ13" s="573" t="e">
        <f t="shared" si="2"/>
        <v>#N/A</v>
      </c>
      <c r="AR13" s="76"/>
      <c r="AS13" s="76"/>
      <c r="AT13" s="76"/>
      <c r="AU13" s="76"/>
      <c r="AV13" s="76"/>
      <c r="AW13" s="76"/>
    </row>
    <row r="14" spans="1:49" ht="18" customHeight="1" thickBot="1">
      <c r="A14" s="8" t="s">
        <v>235</v>
      </c>
      <c r="B14" s="694"/>
      <c r="C14" s="218">
        <v>4</v>
      </c>
      <c r="D14" s="293">
        <f>INDEX(Table!I:I,MATCH($A14,Table!$B:$B,0))</f>
        <v>-2.5642857142857149</v>
      </c>
      <c r="E14" s="137">
        <f>INDEX(Table!J:J,MATCH($A14,Table!$B:$B,0))</f>
        <v>6</v>
      </c>
      <c r="F14" s="138" t="str">
        <f>INDEX(Table!F:F,MATCH($A14,Table!$B:$B,0))</f>
        <v>Mark Saunders</v>
      </c>
      <c r="G14" s="293">
        <f>INDEX(Table!K:K,MATCH($A14,Table!$B:$B,0))</f>
        <v>-7</v>
      </c>
      <c r="H14" s="137">
        <f>INDEX(Table!L:L,MATCH($A14,Table!$B:$B,0))</f>
        <v>0</v>
      </c>
      <c r="I14" s="548"/>
      <c r="J14" s="548">
        <v>10</v>
      </c>
      <c r="K14" s="219"/>
      <c r="L14" s="697" t="str">
        <f>INDEX(Weekly!E:E,MATCH($J14,Weekly!$B:$B,0))</f>
        <v>Frank Allen</v>
      </c>
      <c r="M14" s="698"/>
      <c r="N14" s="490">
        <f>INDEX(Weekly!A:A,MATCH($L14,Weekly!$E:$E,0))</f>
        <v>10</v>
      </c>
      <c r="O14" s="593" t="str">
        <f>INDEX(Weekly!D:D,MATCH($L14,Weekly!$E:$E,0))</f>
        <v>C</v>
      </c>
      <c r="P14" s="593">
        <f>INDEX(Table!D:D,MATCH($L14,Table!$F:$F,0))</f>
        <v>5</v>
      </c>
      <c r="Q14" s="494">
        <f>INDEX(Weekly!F:F,MATCH($L14,Weekly!$E:$E,0))</f>
        <v>-2.7861471861471863</v>
      </c>
      <c r="R14" s="501">
        <f>INDEX(Weekly!I:I,MATCH($L14,Weekly!$E:$E,0))</f>
        <v>2</v>
      </c>
      <c r="S14" s="354">
        <f>INDEX(Weekly!H:H,MATCH($L14,Weekly!$E:$E,0))</f>
        <v>3.4000000000000004</v>
      </c>
      <c r="T14" s="76"/>
      <c r="U14" s="76">
        <v>10</v>
      </c>
      <c r="V14" s="76"/>
      <c r="W14" s="76"/>
      <c r="X14" s="76"/>
      <c r="Y14" s="76"/>
      <c r="Z14" s="76"/>
      <c r="AA14" s="393" t="s">
        <v>363</v>
      </c>
      <c r="AB14" s="450" t="str">
        <f>INDEX(Table!F:F,MATCH(AA14,Table!$B:$B,0))</f>
        <v>Rob England</v>
      </c>
      <c r="AC14" s="446">
        <f>INDEX(Table!I:I,MATCH(AA14,Table!$B:$B,0))</f>
        <v>-14.449494949494948</v>
      </c>
      <c r="AD14" s="447" t="s">
        <v>373</v>
      </c>
      <c r="AE14" s="454" t="str">
        <f>INDEX(Table!$F:$F,MATCH(AD14,Table!$B:$B,0))</f>
        <v>Bob Bailey</v>
      </c>
      <c r="AF14" s="446">
        <f>INDEX(Table!$I:$I,MATCH(AD14,Table!$B:$B,0))</f>
        <v>-18.581818181818182</v>
      </c>
      <c r="AG14" s="447" t="s">
        <v>383</v>
      </c>
      <c r="AH14" s="457" t="str">
        <f>INDEX(Table!$F:$F,MATCH(AG14,Table!$B:$B,0))</f>
        <v>Julie Dodd</v>
      </c>
      <c r="AI14" s="446">
        <f>INDEX(Table!$I:$I,MATCH(AG14,Table!$B:$B,0))</f>
        <v>-19.484166666666663</v>
      </c>
      <c r="AJ14" s="447" t="s">
        <v>393</v>
      </c>
      <c r="AK14" s="448" t="e">
        <f>INDEX(Table!$F:$F,MATCH(AJ14,Table!$B:$B,0))</f>
        <v>#N/A</v>
      </c>
      <c r="AL14" s="446" t="e">
        <f>INDEX(Table!$I:$I,MATCH(AJ14,Table!$B:$B,0))</f>
        <v>#N/A</v>
      </c>
      <c r="AM14" s="76"/>
      <c r="AN14" s="573" t="str">
        <f t="shared" si="3"/>
        <v>Rob England</v>
      </c>
      <c r="AO14" s="573" t="str">
        <f t="shared" si="0"/>
        <v>Bob Bailey</v>
      </c>
      <c r="AP14" s="573" t="str">
        <f t="shared" si="1"/>
        <v>Julie Dodd</v>
      </c>
      <c r="AQ14" s="573" t="e">
        <f t="shared" si="2"/>
        <v>#N/A</v>
      </c>
      <c r="AR14" s="76"/>
      <c r="AS14" s="76"/>
      <c r="AT14" s="76"/>
      <c r="AU14" s="76"/>
      <c r="AV14" s="76"/>
      <c r="AW14" s="76"/>
    </row>
    <row r="15" spans="1:49" ht="18" customHeight="1" thickTop="1">
      <c r="A15" s="8" t="s">
        <v>236</v>
      </c>
      <c r="B15" s="694"/>
      <c r="C15" s="218">
        <v>5</v>
      </c>
      <c r="D15" s="293">
        <f>INDEX(Table!I:I,MATCH($A15,Table!$B:$B,0))</f>
        <v>-2.9664646464646456</v>
      </c>
      <c r="E15" s="137">
        <f>INDEX(Table!J:J,MATCH($A15,Table!$B:$B,0))</f>
        <v>7</v>
      </c>
      <c r="F15" s="138" t="str">
        <f>INDEX(Table!F:F,MATCH($A15,Table!$B:$B,0))</f>
        <v>Nick Blocksidge</v>
      </c>
      <c r="G15" s="293">
        <f>INDEX(Table!K:K,MATCH($A15,Table!$B:$B,0))</f>
        <v>-5.5555555555555554</v>
      </c>
      <c r="H15" s="137">
        <f>INDEX(Table!L:L,MATCH($A15,Table!$B:$B,0))</f>
        <v>1</v>
      </c>
      <c r="I15" s="548"/>
      <c r="J15" s="548">
        <v>11</v>
      </c>
      <c r="K15" s="219"/>
      <c r="L15" s="697" t="str">
        <f>INDEX(Weekly!E:E,MATCH($J15,Weekly!$B:$B,0))</f>
        <v>Steve Carter</v>
      </c>
      <c r="M15" s="698"/>
      <c r="N15" s="490">
        <f>INDEX(Weekly!A:A,MATCH($L15,Weekly!$E:$E,0))</f>
        <v>21</v>
      </c>
      <c r="O15" s="593" t="str">
        <f>INDEX(Weekly!D:D,MATCH($L15,Weekly!$E:$E,0))</f>
        <v>C</v>
      </c>
      <c r="P15" s="593">
        <f>INDEX(Table!D:D,MATCH($L15,Table!$F:$F,0))</f>
        <v>6</v>
      </c>
      <c r="Q15" s="494">
        <f>INDEX(Weekly!F:F,MATCH($L15,Weekly!$E:$E,0))</f>
        <v>-12.134999999999998</v>
      </c>
      <c r="R15" s="501">
        <f>INDEX(Weekly!I:I,MATCH($L15,Weekly!$E:$E,0))</f>
        <v>2</v>
      </c>
      <c r="S15" s="354">
        <f>INDEX(Weekly!H:H,MATCH($L15,Weekly!$E:$E,0))</f>
        <v>2.7100000000000009</v>
      </c>
      <c r="T15" s="76"/>
      <c r="U15" s="76">
        <v>11</v>
      </c>
      <c r="V15" s="76"/>
      <c r="W15" s="76"/>
      <c r="X15" s="76"/>
      <c r="Y15" s="76"/>
      <c r="Z15" s="76"/>
      <c r="AA15" s="394" t="s">
        <v>364</v>
      </c>
      <c r="AB15" s="435" t="str">
        <f>INDEX(Table!F:F,MATCH(AA15,Table!$B:$B,0))</f>
        <v>Nigel Heyes</v>
      </c>
      <c r="AC15" s="403">
        <f>INDEX(Table!I:I,MATCH(AA15,Table!$B:$B,0))</f>
        <v>-21.316666666666666</v>
      </c>
      <c r="AD15" s="404" t="s">
        <v>374</v>
      </c>
      <c r="AE15" s="433" t="str">
        <f>INDEX(Table!$F:$F,MATCH(AD15,Table!$B:$B,0))</f>
        <v>Martin Molyneux</v>
      </c>
      <c r="AF15" s="403">
        <f>INDEX(Table!$I:$I,MATCH(AD15,Table!$B:$B,0))</f>
        <v>-19.786363636363635</v>
      </c>
      <c r="AG15" s="404" t="s">
        <v>384</v>
      </c>
      <c r="AH15" s="433" t="str">
        <f>INDEX(Table!$F:$F,MATCH(AG15,Table!$B:$B,0))</f>
        <v>Jack Walsh</v>
      </c>
      <c r="AI15" s="403">
        <f>INDEX(Table!$I:$I,MATCH(AG15,Table!$B:$B,0))</f>
        <v>-23.530555555555555</v>
      </c>
      <c r="AJ15" s="404" t="s">
        <v>394</v>
      </c>
      <c r="AK15" s="405" t="e">
        <f>INDEX(Table!$F:$F,MATCH(AJ15,Table!$B:$B,0))</f>
        <v>#N/A</v>
      </c>
      <c r="AL15" s="403" t="e">
        <f>INDEX(Table!$I:$I,MATCH(AJ15,Table!$B:$B,0))</f>
        <v>#N/A</v>
      </c>
      <c r="AM15" s="76"/>
      <c r="AN15" s="573" t="str">
        <f t="shared" si="3"/>
        <v>Nigel Heyes</v>
      </c>
      <c r="AO15" s="573" t="str">
        <f t="shared" si="0"/>
        <v>Martin Molyneux</v>
      </c>
      <c r="AP15" s="573" t="str">
        <f t="shared" si="1"/>
        <v>Jack Walsh</v>
      </c>
      <c r="AQ15" s="573" t="e">
        <f t="shared" si="2"/>
        <v>#N/A</v>
      </c>
      <c r="AR15" s="76"/>
      <c r="AS15" s="76"/>
      <c r="AT15" s="76"/>
      <c r="AU15" s="76"/>
      <c r="AV15" s="76"/>
      <c r="AW15" s="76"/>
    </row>
    <row r="16" spans="1:49" ht="18" customHeight="1" thickBot="1">
      <c r="A16" s="8" t="s">
        <v>303</v>
      </c>
      <c r="B16" s="695"/>
      <c r="C16" s="218">
        <v>6</v>
      </c>
      <c r="D16" s="297">
        <f>INDEX(Table!I:I,MATCH($A16,Table!$B:$B,0))</f>
        <v>-11.451719576719578</v>
      </c>
      <c r="E16" s="298">
        <f>INDEX(Table!J:J,MATCH($A16,Table!$B:$B,0))</f>
        <v>8</v>
      </c>
      <c r="F16" s="299" t="str">
        <f>INDEX(Table!F:F,MATCH($A16,Table!$B:$B,0))</f>
        <v>Barry Birchall</v>
      </c>
      <c r="G16" s="297">
        <f>INDEX(Table!K:K,MATCH($A16,Table!$B:$B,0))</f>
        <v>-1.4814814814814827</v>
      </c>
      <c r="H16" s="298">
        <f>INDEX(Table!L:L,MATCH($A16,Table!$B:$B,0))</f>
        <v>2</v>
      </c>
      <c r="I16" s="548"/>
      <c r="J16" s="548">
        <v>12</v>
      </c>
      <c r="K16" s="219"/>
      <c r="L16" s="697" t="str">
        <f>INDEX(Weekly!E:E,MATCH($J16,Weekly!$B:$B,0))</f>
        <v>Mark Bunn</v>
      </c>
      <c r="M16" s="698"/>
      <c r="N16" s="493">
        <f>INDEX(Weekly!A:A,MATCH($L16,Weekly!$E:$E,0))</f>
        <v>19</v>
      </c>
      <c r="O16" s="596" t="str">
        <f>INDEX(Weekly!D:D,MATCH($L16,Weekly!$E:$E,0))</f>
        <v>A</v>
      </c>
      <c r="P16" s="596">
        <f>INDEX(Table!D:D,MATCH($L16,Table!$F:$F,0))</f>
        <v>9</v>
      </c>
      <c r="Q16" s="497">
        <f>INDEX(Weekly!F:F,MATCH($L16,Weekly!$E:$E,0))</f>
        <v>-11.219999999999999</v>
      </c>
      <c r="R16" s="502">
        <f>INDEX(Weekly!I:I,MATCH($L16,Weekly!$E:$E,0))</f>
        <v>2</v>
      </c>
      <c r="S16" s="354">
        <f>INDEX(Weekly!H:H,MATCH($L16,Weekly!$E:$E,0))</f>
        <v>2.5399999999999991</v>
      </c>
      <c r="T16" s="76"/>
      <c r="U16" s="76">
        <v>12</v>
      </c>
      <c r="V16" s="76"/>
      <c r="W16" s="76"/>
      <c r="X16" s="76"/>
      <c r="Y16" s="76"/>
      <c r="Z16" s="76"/>
      <c r="AA16" s="392" t="s">
        <v>365</v>
      </c>
      <c r="AB16" s="436" t="str">
        <f>INDEX(Table!F:F,MATCH(AA16,Table!$B:$B,0))</f>
        <v>Chris Griffin</v>
      </c>
      <c r="AC16" s="406">
        <f>INDEX(Table!I:I,MATCH(AA16,Table!$B:$B,0))</f>
        <v>-21.733333333333334</v>
      </c>
      <c r="AD16" s="407" t="s">
        <v>375</v>
      </c>
      <c r="AE16" s="434" t="str">
        <f>INDEX(Table!$F:$F,MATCH(AD16,Table!$B:$B,0))</f>
        <v>Phil Miller</v>
      </c>
      <c r="AF16" s="406">
        <f>INDEX(Table!$I:$I,MATCH(AD16,Table!$B:$B,0))</f>
        <v>-20.305</v>
      </c>
      <c r="AG16" s="407" t="s">
        <v>385</v>
      </c>
      <c r="AH16" s="434" t="str">
        <f>INDEX(Table!$F:$F,MATCH(AG16,Table!$B:$B,0))</f>
        <v>Dot Bow</v>
      </c>
      <c r="AI16" s="406">
        <f>INDEX(Table!$I:$I,MATCH(AG16,Table!$B:$B,0))</f>
        <v>-23.885858585858585</v>
      </c>
      <c r="AJ16" s="407" t="s">
        <v>395</v>
      </c>
      <c r="AK16" s="408" t="e">
        <f>INDEX(Table!$F:$F,MATCH(AJ16,Table!$B:$B,0))</f>
        <v>#N/A</v>
      </c>
      <c r="AL16" s="406" t="e">
        <f>INDEX(Table!$I:$I,MATCH(AJ16,Table!$B:$B,0))</f>
        <v>#N/A</v>
      </c>
      <c r="AM16" s="76"/>
      <c r="AN16" s="573" t="str">
        <f t="shared" si="3"/>
        <v>Chris Griffin</v>
      </c>
      <c r="AO16" s="573" t="str">
        <f t="shared" si="0"/>
        <v>Phil Miller</v>
      </c>
      <c r="AP16" s="573" t="str">
        <f t="shared" si="1"/>
        <v>Dot Bow</v>
      </c>
      <c r="AQ16" s="573" t="e">
        <f t="shared" si="2"/>
        <v>#N/A</v>
      </c>
      <c r="AR16" s="76"/>
      <c r="AS16" s="76"/>
      <c r="AT16" s="76"/>
      <c r="AU16" s="76"/>
      <c r="AV16" s="76"/>
      <c r="AW16" s="76"/>
    </row>
    <row r="17" spans="1:50" ht="18" customHeight="1" thickTop="1">
      <c r="A17" s="8" t="s">
        <v>237</v>
      </c>
      <c r="B17" s="693" t="s">
        <v>217</v>
      </c>
      <c r="C17" s="218">
        <v>1</v>
      </c>
      <c r="D17" s="294">
        <f>INDEX(Table!I:I,MATCH($A17,Table!$B:$B,0))</f>
        <v>14.516666666666666</v>
      </c>
      <c r="E17" s="295">
        <f>INDEX(Table!J:J,MATCH($A17,Table!$B:$B,0))</f>
        <v>8</v>
      </c>
      <c r="F17" s="296" t="str">
        <f>INDEX(Table!F:F,MATCH($A17,Table!$B:$B,0))</f>
        <v>Chris Bow</v>
      </c>
      <c r="G17" s="294">
        <f>INDEX(Table!K:K,MATCH($A17,Table!$B:$B,0))</f>
        <v>24.64</v>
      </c>
      <c r="H17" s="295">
        <f>INDEX(Table!L:L,MATCH($A17,Table!$B:$B,0))</f>
        <v>3</v>
      </c>
      <c r="I17" s="548"/>
      <c r="J17" s="548"/>
      <c r="K17" s="139"/>
      <c r="L17" s="139"/>
      <c r="M17" s="139"/>
      <c r="N17" s="139"/>
      <c r="O17" s="139"/>
      <c r="P17" s="139"/>
      <c r="Q17" s="139"/>
      <c r="R17" s="139"/>
      <c r="S17" s="139"/>
      <c r="T17" s="76"/>
      <c r="U17" s="76">
        <v>13</v>
      </c>
      <c r="V17" s="76"/>
      <c r="W17" s="76"/>
      <c r="X17" s="76"/>
      <c r="Y17" s="76"/>
      <c r="Z17" s="76"/>
      <c r="AA17" s="392" t="s">
        <v>366</v>
      </c>
      <c r="AB17" s="436" t="str">
        <f>INDEX(Table!F:F,MATCH(AA17,Table!$B:$B,0))</f>
        <v>Paul Allen</v>
      </c>
      <c r="AC17" s="406">
        <f>INDEX(Table!I:I,MATCH(AA17,Table!$B:$B,0))</f>
        <v>-23.849999999999998</v>
      </c>
      <c r="AD17" s="407" t="s">
        <v>376</v>
      </c>
      <c r="AE17" s="434" t="str">
        <f>INDEX(Table!$F:$F,MATCH(AD17,Table!$B:$B,0))</f>
        <v>Graham Miller</v>
      </c>
      <c r="AF17" s="406">
        <f>INDEX(Table!$I:$I,MATCH(AD17,Table!$B:$B,0))</f>
        <v>-21.5</v>
      </c>
      <c r="AG17" s="407" t="s">
        <v>386</v>
      </c>
      <c r="AH17" s="434" t="str">
        <f>INDEX(Table!$F:$F,MATCH(AG17,Table!$B:$B,0))</f>
        <v>Katy Savory</v>
      </c>
      <c r="AI17" s="406">
        <f>INDEX(Table!$I:$I,MATCH(AG17,Table!$B:$B,0))</f>
        <v>-26.700000000000003</v>
      </c>
      <c r="AJ17" s="407" t="s">
        <v>396</v>
      </c>
      <c r="AK17" s="408" t="e">
        <f>INDEX(Table!$F:$F,MATCH(AJ17,Table!$B:$B,0))</f>
        <v>#N/A</v>
      </c>
      <c r="AL17" s="406" t="e">
        <f>INDEX(Table!$I:$I,MATCH(AJ17,Table!$B:$B,0))</f>
        <v>#N/A</v>
      </c>
      <c r="AM17" s="76"/>
      <c r="AN17" s="573" t="str">
        <f t="shared" si="3"/>
        <v>Paul Allen</v>
      </c>
      <c r="AO17" s="573" t="str">
        <f t="shared" si="0"/>
        <v>Graham Miller</v>
      </c>
      <c r="AP17" s="573" t="str">
        <f>IF(AH17="","",AH17)</f>
        <v>Katy Savory</v>
      </c>
      <c r="AQ17" s="573" t="e">
        <f t="shared" si="2"/>
        <v>#N/A</v>
      </c>
      <c r="AR17" s="76"/>
      <c r="AS17" s="76"/>
      <c r="AT17" s="76"/>
      <c r="AU17" s="76"/>
      <c r="AV17" s="76"/>
      <c r="AW17" s="76"/>
    </row>
    <row r="18" spans="1:50" ht="18" customHeight="1">
      <c r="A18" s="8" t="s">
        <v>238</v>
      </c>
      <c r="B18" s="694"/>
      <c r="C18" s="218">
        <v>2</v>
      </c>
      <c r="D18" s="294">
        <f>INDEX(Table!I:I,MATCH($A18,Table!$B:$B,0))</f>
        <v>12.430000000000003</v>
      </c>
      <c r="E18" s="295">
        <f>INDEX(Table!J:J,MATCH($A18,Table!$B:$B,0))</f>
        <v>6</v>
      </c>
      <c r="F18" s="296" t="str">
        <f>INDEX(Table!F:F,MATCH($A18,Table!$B:$B,0))</f>
        <v>Paul Fairhurst</v>
      </c>
      <c r="G18" s="294">
        <f>INDEX(Table!K:K,MATCH($A18,Table!$B:$B,0))</f>
        <v>11.270000000000003</v>
      </c>
      <c r="H18" s="295">
        <f>INDEX(Table!L:L,MATCH($A18,Table!$B:$B,0))</f>
        <v>2</v>
      </c>
      <c r="I18" s="139"/>
      <c r="J18" s="319"/>
      <c r="K18" s="418" t="s">
        <v>456</v>
      </c>
      <c r="L18" s="479"/>
      <c r="M18" s="692" t="s">
        <v>443</v>
      </c>
      <c r="N18" s="692"/>
      <c r="O18" s="692" t="s">
        <v>444</v>
      </c>
      <c r="P18" s="692"/>
      <c r="Q18" s="692"/>
      <c r="R18" s="481" t="s">
        <v>438</v>
      </c>
      <c r="S18" s="482" t="s">
        <v>439</v>
      </c>
      <c r="T18" s="76"/>
      <c r="U18" s="76">
        <v>14</v>
      </c>
      <c r="V18" s="76"/>
      <c r="W18" s="76"/>
      <c r="X18" s="76"/>
      <c r="Y18" s="76"/>
      <c r="Z18" s="76"/>
      <c r="AA18" s="392" t="s">
        <v>367</v>
      </c>
      <c r="AB18" s="436" t="str">
        <f>INDEX(Table!F:F,MATCH(AA18,Table!$B:$B,0))</f>
        <v>Mike Penk</v>
      </c>
      <c r="AC18" s="406">
        <f>INDEX(Table!I:I,MATCH(AA18,Table!$B:$B,0))</f>
        <v>-25.028571428571432</v>
      </c>
      <c r="AD18" s="407" t="s">
        <v>377</v>
      </c>
      <c r="AE18" s="434" t="str">
        <f>INDEX(Table!$F:$F,MATCH(AD18,Table!$B:$B,0))</f>
        <v>Alick Rocca</v>
      </c>
      <c r="AF18" s="406">
        <f>INDEX(Table!$I:$I,MATCH(AD18,Table!$B:$B,0))</f>
        <v>-21.873015873015873</v>
      </c>
      <c r="AG18" s="407" t="s">
        <v>387</v>
      </c>
      <c r="AH18" s="434" t="str">
        <f>INDEX(Table!$F:$F,MATCH(AG18,Table!$B:$B,0))</f>
        <v>Alex Griffin</v>
      </c>
      <c r="AI18" s="406">
        <f>INDEX(Table!$I:$I,MATCH(AG18,Table!$B:$B,0))</f>
        <v>-33.6</v>
      </c>
      <c r="AJ18" s="407" t="s">
        <v>396</v>
      </c>
      <c r="AK18" s="408" t="e">
        <f>INDEX(Table!$F:$F,MATCH(AJ18,Table!$B:$B,0))</f>
        <v>#N/A</v>
      </c>
      <c r="AL18" s="406" t="e">
        <f>INDEX(Table!$I:$I,MATCH(AJ18,Table!$B:$B,0))</f>
        <v>#N/A</v>
      </c>
      <c r="AM18" s="76"/>
      <c r="AN18" s="573" t="str">
        <f t="shared" si="3"/>
        <v>Mike Penk</v>
      </c>
      <c r="AO18" s="573" t="str">
        <f t="shared" si="0"/>
        <v>Alick Rocca</v>
      </c>
      <c r="AP18" s="573" t="str">
        <f>IF(AH18="","",AH18)</f>
        <v>Alex Griffin</v>
      </c>
      <c r="AQ18" s="573" t="e">
        <f t="shared" si="2"/>
        <v>#N/A</v>
      </c>
      <c r="AR18" s="76"/>
      <c r="AS18" s="76"/>
      <c r="AT18" s="76"/>
      <c r="AU18" s="76"/>
      <c r="AV18" s="76"/>
      <c r="AW18" s="76"/>
    </row>
    <row r="19" spans="1:50" ht="18" customHeight="1">
      <c r="A19" s="8" t="s">
        <v>239</v>
      </c>
      <c r="B19" s="694"/>
      <c r="C19" s="218">
        <v>3</v>
      </c>
      <c r="D19" s="293">
        <f>INDEX(Table!I:I,MATCH($A19,Table!$B:$B,0))</f>
        <v>0.40636363636363626</v>
      </c>
      <c r="E19" s="137">
        <f>INDEX(Table!J:J,MATCH($A19,Table!$B:$B,0))</f>
        <v>5</v>
      </c>
      <c r="F19" s="138" t="str">
        <f>INDEX(Table!F:F,MATCH($A19,Table!$B:$B,0))</f>
        <v>Andy White</v>
      </c>
      <c r="G19" s="293">
        <f>INDEX(Table!K:K,MATCH($A19,Table!$B:$B,0))</f>
        <v>23.156363636363636</v>
      </c>
      <c r="H19" s="137">
        <f>INDEX(Table!L:L,MATCH($A19,Table!$B:$B,0))</f>
        <v>3</v>
      </c>
      <c r="I19" s="139"/>
      <c r="J19" s="319"/>
      <c r="K19" s="135" t="s">
        <v>433</v>
      </c>
      <c r="L19" s="504"/>
      <c r="M19" s="486" t="s">
        <v>412</v>
      </c>
      <c r="N19" s="478" t="str">
        <f>IF(M19="","",INDEX(Picks!K:K,MATCH(M19,Picks!J:J,0)))</f>
        <v>23/20</v>
      </c>
      <c r="O19" s="700"/>
      <c r="P19" s="701"/>
      <c r="Q19" s="702"/>
      <c r="R19" s="623" t="str">
        <f>IF(O19="","",INDEX(Picks!K:K,MATCH(O19,Picks!J:J,0)))</f>
        <v/>
      </c>
      <c r="S19" s="480">
        <f>IF(M19="","",INDEX(TopPicks!K:K,MATCH(M19,TopPicks!I:I,0)))</f>
        <v>7</v>
      </c>
      <c r="T19" s="76"/>
      <c r="U19" s="76">
        <v>15</v>
      </c>
      <c r="V19" s="76"/>
      <c r="W19" s="76"/>
      <c r="X19" s="76"/>
      <c r="Y19" s="76"/>
      <c r="Z19" s="76"/>
      <c r="AA19" s="392" t="s">
        <v>368</v>
      </c>
      <c r="AB19" s="436" t="str">
        <f>INDEX(Table!F:F,MATCH(AA19,Table!$B:$B,0))</f>
        <v>Tom Robinson</v>
      </c>
      <c r="AC19" s="406">
        <f>INDEX(Table!I:I,MATCH(AA19,Table!$B:$B,0))</f>
        <v>-25.394444444444446</v>
      </c>
      <c r="AD19" s="407" t="s">
        <v>378</v>
      </c>
      <c r="AE19" s="434" t="str">
        <f>INDEX(Table!$F:$F,MATCH(AD19,Table!$B:$B,0))</f>
        <v>Dave Bell</v>
      </c>
      <c r="AF19" s="406">
        <f>INDEX(Table!$I:$I,MATCH(AD19,Table!$B:$B,0))</f>
        <v>-26.2</v>
      </c>
      <c r="AG19" s="407" t="s">
        <v>388</v>
      </c>
      <c r="AH19" s="672"/>
      <c r="AI19" s="674"/>
      <c r="AJ19" s="407" t="s">
        <v>354</v>
      </c>
      <c r="AK19" s="408"/>
      <c r="AL19" s="406"/>
      <c r="AM19" s="76"/>
      <c r="AN19" s="573" t="str">
        <f t="shared" si="3"/>
        <v>Tom Robinson</v>
      </c>
      <c r="AO19" s="573" t="str">
        <f t="shared" si="0"/>
        <v>Dave Bell</v>
      </c>
      <c r="AP19" s="573" t="str">
        <f>IF(AH19="","",AH19)</f>
        <v/>
      </c>
      <c r="AQ19" s="573" t="str">
        <f t="shared" si="2"/>
        <v/>
      </c>
      <c r="AR19" s="76"/>
      <c r="AS19" s="76"/>
      <c r="AT19" s="76"/>
      <c r="AU19" s="76"/>
      <c r="AV19" s="76"/>
      <c r="AW19" s="76"/>
    </row>
    <row r="20" spans="1:50" ht="18" customHeight="1">
      <c r="A20" s="8" t="s">
        <v>240</v>
      </c>
      <c r="B20" s="694"/>
      <c r="C20" s="218">
        <v>4</v>
      </c>
      <c r="D20" s="293">
        <f>INDEX(Table!I:I,MATCH($A20,Table!$B:$B,0))</f>
        <v>-0.76545454545454383</v>
      </c>
      <c r="E20" s="137">
        <f>INDEX(Table!J:J,MATCH($A20,Table!$B:$B,0))</f>
        <v>4</v>
      </c>
      <c r="F20" s="138" t="str">
        <f>INDEX(Table!F:F,MATCH($A20,Table!$B:$B,0))</f>
        <v>Vinny Topping</v>
      </c>
      <c r="G20" s="293">
        <f>INDEX(Table!K:K,MATCH($A20,Table!$B:$B,0))</f>
        <v>-7</v>
      </c>
      <c r="H20" s="137">
        <f>INDEX(Table!L:L,MATCH($A20,Table!$B:$B,0))</f>
        <v>0</v>
      </c>
      <c r="I20" s="76"/>
      <c r="J20" s="319"/>
      <c r="K20" s="135" t="s">
        <v>434</v>
      </c>
      <c r="L20" s="504"/>
      <c r="M20" s="486" t="s">
        <v>585</v>
      </c>
      <c r="N20" s="478" t="str">
        <f>IF(M20="","",INDEX(Picks!K:K,MATCH(M20,Picks!J:J,0)))</f>
        <v>29/20</v>
      </c>
      <c r="O20" s="700"/>
      <c r="P20" s="701"/>
      <c r="Q20" s="702"/>
      <c r="R20" s="487" t="str">
        <f>IF(O20="","",INDEX(Picks!K:K,MATCH(O20,Picks!J:J,0)))</f>
        <v/>
      </c>
      <c r="S20" s="480">
        <f>IF(M20="","",INDEX(TopPicks!J:J,MATCH(M20,TopPicks!I:I,0)))</f>
        <v>9</v>
      </c>
      <c r="T20" s="459"/>
      <c r="U20" s="76">
        <v>16</v>
      </c>
      <c r="V20" s="76"/>
      <c r="W20" s="76"/>
      <c r="X20" s="76"/>
      <c r="Y20" s="76"/>
      <c r="Z20" s="76"/>
      <c r="AA20" s="392" t="s">
        <v>369</v>
      </c>
      <c r="AB20" s="436" t="str">
        <f>INDEX(Table!F:F,MATCH(AA20,Table!$B:$B,0))</f>
        <v>Stephen Barr</v>
      </c>
      <c r="AC20" s="406">
        <f>INDEX(Table!I:I,MATCH(AA20,Table!$B:$B,0))</f>
        <v>-29.090909090909086</v>
      </c>
      <c r="AD20" s="407" t="s">
        <v>379</v>
      </c>
      <c r="AE20" s="434" t="str">
        <f>INDEX(Table!$F:$F,MATCH(AD20,Table!$B:$B,0))</f>
        <v>Alan Bond</v>
      </c>
      <c r="AF20" s="406">
        <f>INDEX(Table!$I:$I,MATCH(AD20,Table!$B:$B,0))</f>
        <v>-28.200000000000003</v>
      </c>
      <c r="AG20" s="407" t="s">
        <v>389</v>
      </c>
      <c r="AH20" s="673"/>
      <c r="AI20" s="675"/>
      <c r="AJ20" s="407" t="s">
        <v>355</v>
      </c>
      <c r="AK20" s="408"/>
      <c r="AL20" s="406"/>
      <c r="AM20" s="76"/>
      <c r="AN20" s="573" t="str">
        <f t="shared" si="3"/>
        <v>Stephen Barr</v>
      </c>
      <c r="AO20" s="573" t="str">
        <f t="shared" si="0"/>
        <v>Alan Bond</v>
      </c>
      <c r="AP20" s="573" t="str">
        <f>IF(AH20="","",AH20)</f>
        <v/>
      </c>
      <c r="AQ20" s="573" t="str">
        <f t="shared" si="2"/>
        <v/>
      </c>
      <c r="AR20" s="76"/>
      <c r="AS20" s="76"/>
      <c r="AT20" s="76"/>
      <c r="AU20" s="76"/>
      <c r="AV20" s="76"/>
      <c r="AW20" s="76"/>
    </row>
    <row r="21" spans="1:50" ht="18" customHeight="1">
      <c r="A21" s="8" t="s">
        <v>241</v>
      </c>
      <c r="B21" s="694"/>
      <c r="C21" s="218">
        <v>5</v>
      </c>
      <c r="D21" s="293">
        <f>INDEX(Table!I:I,MATCH($A21,Table!$B:$B,0))</f>
        <v>-2.7861471861471863</v>
      </c>
      <c r="E21" s="137">
        <f>INDEX(Table!J:J,MATCH($A21,Table!$B:$B,0))</f>
        <v>8</v>
      </c>
      <c r="F21" s="138" t="str">
        <f>INDEX(Table!F:F,MATCH($A21,Table!$B:$B,0))</f>
        <v>Frank Allen</v>
      </c>
      <c r="G21" s="293">
        <f>INDEX(Table!K:K,MATCH($A21,Table!$B:$B,0))</f>
        <v>3.4000000000000004</v>
      </c>
      <c r="H21" s="137">
        <f>INDEX(Table!L:L,MATCH($A21,Table!$B:$B,0))</f>
        <v>2</v>
      </c>
      <c r="I21" s="76"/>
      <c r="J21" s="317"/>
      <c r="K21" s="418" t="s">
        <v>454</v>
      </c>
      <c r="L21" s="418"/>
      <c r="M21" s="692" t="s">
        <v>443</v>
      </c>
      <c r="N21" s="692"/>
      <c r="O21" s="692" t="s">
        <v>458</v>
      </c>
      <c r="P21" s="692"/>
      <c r="Q21" s="707"/>
      <c r="R21" s="726" t="s">
        <v>457</v>
      </c>
      <c r="S21" s="727"/>
      <c r="T21" s="76"/>
      <c r="U21" s="76">
        <v>17</v>
      </c>
      <c r="V21" s="76"/>
      <c r="W21" s="76"/>
      <c r="X21" s="76"/>
      <c r="Y21" s="76"/>
      <c r="Z21" s="76"/>
      <c r="AA21" s="392"/>
      <c r="AB21" s="402"/>
      <c r="AC21" s="409"/>
      <c r="AD21" s="407"/>
      <c r="AE21" s="408"/>
      <c r="AF21" s="410"/>
      <c r="AG21" s="407" t="s">
        <v>504</v>
      </c>
      <c r="AH21" s="434"/>
      <c r="AI21" s="406"/>
      <c r="AJ21" s="407" t="s">
        <v>356</v>
      </c>
      <c r="AK21" s="408"/>
      <c r="AL21" s="406"/>
      <c r="AM21" s="76"/>
      <c r="AN21" s="76"/>
      <c r="AO21" s="76"/>
      <c r="AP21" s="76"/>
      <c r="AQ21" s="76"/>
      <c r="AR21" s="76"/>
      <c r="AS21" s="76"/>
      <c r="AT21" s="76"/>
      <c r="AU21" s="76"/>
      <c r="AV21" s="76"/>
      <c r="AW21" s="76"/>
    </row>
    <row r="22" spans="1:50" ht="18" customHeight="1" thickBot="1">
      <c r="A22" s="8" t="s">
        <v>304</v>
      </c>
      <c r="B22" s="695"/>
      <c r="C22" s="218">
        <v>6</v>
      </c>
      <c r="D22" s="297">
        <f>INDEX(Table!I:I,MATCH($A22,Table!$B:$B,0))</f>
        <v>-12.134999999999998</v>
      </c>
      <c r="E22" s="298">
        <f>INDEX(Table!J:J,MATCH($A22,Table!$B:$B,0))</f>
        <v>6</v>
      </c>
      <c r="F22" s="299" t="str">
        <f>INDEX(Table!F:F,MATCH($A22,Table!$B:$B,0))</f>
        <v>Steve Carter</v>
      </c>
      <c r="G22" s="297">
        <f>INDEX(Table!K:K,MATCH($A22,Table!$B:$B,0))</f>
        <v>2.7100000000000009</v>
      </c>
      <c r="H22" s="298">
        <f>INDEX(Table!L:L,MATCH($A22,Table!$B:$B,0))</f>
        <v>2</v>
      </c>
      <c r="I22" s="76"/>
      <c r="J22" s="317"/>
      <c r="K22" s="135" t="s">
        <v>455</v>
      </c>
      <c r="L22" s="504"/>
      <c r="M22" s="486" t="s">
        <v>607</v>
      </c>
      <c r="N22" s="478" t="str">
        <f>IF(J23="Y",N23,INDEX(Picks!K:K,MATCH(M22,Picks!J:J,0)))</f>
        <v>3/1</v>
      </c>
      <c r="O22" s="714" t="s">
        <v>487</v>
      </c>
      <c r="P22" s="701"/>
      <c r="Q22" s="702"/>
      <c r="R22" s="700"/>
      <c r="S22" s="702"/>
      <c r="T22" s="76"/>
      <c r="U22" s="76">
        <v>18</v>
      </c>
      <c r="V22" s="76"/>
      <c r="W22" s="76"/>
      <c r="X22" s="76"/>
      <c r="Y22" s="76"/>
      <c r="Z22" s="76"/>
      <c r="AA22" s="392"/>
      <c r="AB22" s="402"/>
      <c r="AC22" s="409"/>
      <c r="AD22" s="407"/>
      <c r="AE22" s="408"/>
      <c r="AF22" s="410"/>
      <c r="AG22" s="407" t="s">
        <v>506</v>
      </c>
      <c r="AH22" s="434"/>
      <c r="AI22" s="406"/>
      <c r="AJ22" s="407" t="s">
        <v>357</v>
      </c>
      <c r="AK22" s="408"/>
      <c r="AL22" s="406"/>
      <c r="AM22" s="76"/>
      <c r="AN22" s="76"/>
      <c r="AO22" s="76"/>
      <c r="AP22" s="76"/>
      <c r="AQ22" s="76"/>
      <c r="AR22" s="76"/>
      <c r="AS22" s="76"/>
      <c r="AT22" s="76"/>
      <c r="AU22" s="76"/>
      <c r="AV22" s="76"/>
      <c r="AW22" s="76"/>
    </row>
    <row r="23" spans="1:50" ht="18" customHeight="1" thickTop="1">
      <c r="A23" s="8" t="s">
        <v>36</v>
      </c>
      <c r="B23" s="693" t="s">
        <v>218</v>
      </c>
      <c r="C23" s="218">
        <v>1</v>
      </c>
      <c r="D23" s="294" t="e">
        <f>INDEX(Table!I:I,MATCH($A23,Table!$B:$B,0))</f>
        <v>#N/A</v>
      </c>
      <c r="E23" s="295" t="e">
        <f>INDEX(Table!J:J,MATCH($A23,Table!$B:$B,0))</f>
        <v>#N/A</v>
      </c>
      <c r="F23" s="296" t="e">
        <f>INDEX(Table!F:F,MATCH($A23,Table!$B:$B,0))</f>
        <v>#N/A</v>
      </c>
      <c r="G23" s="294" t="e">
        <f>INDEX(Table!K:K,MATCH($A23,Table!$B:$B,0))</f>
        <v>#N/A</v>
      </c>
      <c r="H23" s="295" t="e">
        <f>INDEX(Table!L:L,MATCH($A23,Table!$B:$B,0))</f>
        <v>#N/A</v>
      </c>
      <c r="I23" s="76"/>
      <c r="J23" s="615" t="s">
        <v>527</v>
      </c>
      <c r="K23" s="513"/>
      <c r="L23" s="513"/>
      <c r="M23" s="617" t="s">
        <v>530</v>
      </c>
      <c r="N23" s="616" t="s">
        <v>529</v>
      </c>
      <c r="O23" s="485"/>
      <c r="P23" s="485"/>
      <c r="Q23" s="485"/>
      <c r="R23" s="478"/>
      <c r="S23" s="514"/>
      <c r="T23" s="76"/>
      <c r="U23" s="76">
        <v>19</v>
      </c>
      <c r="V23" s="76"/>
      <c r="W23" s="76"/>
      <c r="X23" s="76"/>
      <c r="Y23" s="76"/>
      <c r="Z23" s="76"/>
      <c r="AA23" s="392"/>
      <c r="AB23" s="402"/>
      <c r="AC23" s="409"/>
      <c r="AD23" s="407"/>
      <c r="AE23" s="408"/>
      <c r="AF23" s="410"/>
      <c r="AG23" s="407" t="s">
        <v>507</v>
      </c>
      <c r="AH23" s="434"/>
      <c r="AI23" s="406"/>
      <c r="AJ23" s="407" t="s">
        <v>358</v>
      </c>
      <c r="AK23" s="408"/>
      <c r="AL23" s="406"/>
      <c r="AM23" s="76"/>
      <c r="AN23" s="76"/>
      <c r="AO23" s="76"/>
      <c r="AP23" s="76"/>
      <c r="AQ23" s="76"/>
      <c r="AR23" s="76"/>
      <c r="AS23" s="76"/>
      <c r="AT23" s="76"/>
      <c r="AU23" s="76"/>
      <c r="AV23" s="76"/>
      <c r="AW23" s="76"/>
    </row>
    <row r="24" spans="1:50" ht="18" customHeight="1">
      <c r="A24" s="8" t="s">
        <v>37</v>
      </c>
      <c r="B24" s="694"/>
      <c r="C24" s="218">
        <v>2</v>
      </c>
      <c r="D24" s="294" t="e">
        <f>INDEX(Table!I:I,MATCH($A24,Table!$B:$B,0))</f>
        <v>#N/A</v>
      </c>
      <c r="E24" s="295" t="e">
        <f>INDEX(Table!J:J,MATCH($A24,Table!$B:$B,0))</f>
        <v>#N/A</v>
      </c>
      <c r="F24" s="296" t="e">
        <f>INDEX(Table!F:F,MATCH($A24,Table!$B:$B,0))</f>
        <v>#N/A</v>
      </c>
      <c r="G24" s="294" t="e">
        <f>INDEX(Table!K:K,MATCH($A24,Table!$B:$B,0))</f>
        <v>#N/A</v>
      </c>
      <c r="H24" s="295" t="e">
        <f>INDEX(Table!L:L,MATCH($A24,Table!$B:$B,0))</f>
        <v>#N/A</v>
      </c>
      <c r="I24" s="76"/>
      <c r="J24" s="317"/>
      <c r="K24" s="512" t="s">
        <v>450</v>
      </c>
      <c r="L24" s="505"/>
      <c r="M24" s="506"/>
      <c r="N24" s="507"/>
      <c r="O24" s="506"/>
      <c r="P24" s="508"/>
      <c r="Q24" s="509"/>
      <c r="R24" s="510"/>
      <c r="S24" s="511"/>
      <c r="T24" s="76"/>
      <c r="U24" s="76">
        <v>20</v>
      </c>
      <c r="V24" s="76"/>
      <c r="W24" s="76"/>
      <c r="X24" s="76"/>
      <c r="Y24" s="76"/>
      <c r="Z24" s="76"/>
      <c r="AA24" s="392"/>
      <c r="AB24" s="402"/>
      <c r="AC24" s="409"/>
      <c r="AD24" s="407"/>
      <c r="AE24" s="408"/>
      <c r="AF24" s="410"/>
      <c r="AG24" s="407" t="s">
        <v>505</v>
      </c>
      <c r="AH24" s="434"/>
      <c r="AI24" s="406"/>
      <c r="AJ24" s="407" t="s">
        <v>359</v>
      </c>
      <c r="AK24" s="408"/>
      <c r="AL24" s="406"/>
      <c r="AM24" s="76"/>
      <c r="AN24" s="76"/>
      <c r="AO24" s="76"/>
      <c r="AP24" s="76"/>
      <c r="AQ24" s="76"/>
      <c r="AR24" s="76"/>
      <c r="AS24" s="76"/>
      <c r="AT24" s="76"/>
      <c r="AU24" s="76"/>
      <c r="AV24" s="76"/>
      <c r="AW24" s="76"/>
    </row>
    <row r="25" spans="1:50" ht="18" customHeight="1">
      <c r="A25" s="8" t="s">
        <v>242</v>
      </c>
      <c r="B25" s="694"/>
      <c r="C25" s="218">
        <v>3</v>
      </c>
      <c r="D25" s="293" t="e">
        <f>INDEX(Table!I:I,MATCH($A25,Table!$B:$B,0))</f>
        <v>#N/A</v>
      </c>
      <c r="E25" s="137" t="e">
        <f>INDEX(Table!J:J,MATCH($A25,Table!$B:$B,0))</f>
        <v>#N/A</v>
      </c>
      <c r="F25" s="138" t="e">
        <f>INDEX(Table!F:F,MATCH($A25,Table!$B:$B,0))</f>
        <v>#N/A</v>
      </c>
      <c r="G25" s="293" t="e">
        <f>INDEX(Table!K:K,MATCH($A25,Table!$B:$B,0))</f>
        <v>#N/A</v>
      </c>
      <c r="H25" s="137" t="e">
        <f>INDEX(Table!L:L,MATCH($A25,Table!$B:$B,0))</f>
        <v>#N/A</v>
      </c>
      <c r="I25" s="76"/>
      <c r="J25" s="317"/>
      <c r="K25" s="135" t="s">
        <v>435</v>
      </c>
      <c r="L25" s="504"/>
      <c r="M25" s="714" t="str">
        <f>INDEX(Picks!AI:AI,MATCH(O25,Picks!AJ:AJ,0))</f>
        <v>Dave Bell</v>
      </c>
      <c r="N25" s="702"/>
      <c r="O25" s="503">
        <f>MAX(Picks!AJ:AJ)</f>
        <v>374.5</v>
      </c>
      <c r="P25" s="487" t="str">
        <f>IF(O25="","",(INDEX(Picks!AK:AK,MATCH(O25,Picks!AJ:AJ,0)))&amp;" in")</f>
        <v>0 in</v>
      </c>
      <c r="Q25" s="720"/>
      <c r="R25" s="721"/>
      <c r="S25" s="722"/>
      <c r="T25" s="76"/>
      <c r="U25" s="76"/>
      <c r="V25" s="76"/>
      <c r="W25" s="76"/>
      <c r="X25" s="76"/>
      <c r="Y25" s="76"/>
      <c r="Z25" s="76"/>
      <c r="AA25" s="76"/>
      <c r="AB25" s="515"/>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307</v>
      </c>
      <c r="B26" s="694"/>
      <c r="C26" s="218">
        <v>4</v>
      </c>
      <c r="D26" s="293" t="e">
        <f>INDEX(Table!I:I,MATCH($A26,Table!$B:$B,0))</f>
        <v>#N/A</v>
      </c>
      <c r="E26" s="137" t="e">
        <f>INDEX(Table!J:J,MATCH($A26,Table!$B:$B,0))</f>
        <v>#N/A</v>
      </c>
      <c r="F26" s="138" t="e">
        <f>INDEX(Table!F:F,MATCH($A26,Table!$B:$B,0))</f>
        <v>#N/A</v>
      </c>
      <c r="G26" s="293" t="e">
        <f>INDEX(Table!K:K,MATCH($A26,Table!$B:$B,0))</f>
        <v>#N/A</v>
      </c>
      <c r="H26" s="137" t="e">
        <f>INDEX(Table!L:L,MATCH($A26,Table!$B:$B,0))</f>
        <v>#N/A</v>
      </c>
      <c r="I26" s="76"/>
      <c r="J26" s="317"/>
      <c r="K26" s="135" t="s">
        <v>436</v>
      </c>
      <c r="L26" s="504"/>
      <c r="M26" s="714" t="str">
        <f>INDEX(Picks!AI:AI,MATCH(O26,Picks!AJ:AJ,0))</f>
        <v>Katy Savory</v>
      </c>
      <c r="N26" s="702"/>
      <c r="O26" s="503">
        <f>MIN(Picks!AJ:AJ)</f>
        <v>7.3333333333333321</v>
      </c>
      <c r="P26" s="487" t="str">
        <f>IF(O26="","",(INDEX(Picks!AK:AK,MATCH(O26,Picks!AJ:AJ,0)))&amp;" in")</f>
        <v>2 in</v>
      </c>
      <c r="Q26" s="723"/>
      <c r="R26" s="724"/>
      <c r="S26" s="725"/>
      <c r="T26" s="76"/>
      <c r="U26" s="76"/>
      <c r="V26" s="76"/>
      <c r="W26" s="76"/>
      <c r="X26" s="76"/>
      <c r="Y26" s="76"/>
      <c r="Z26" s="460"/>
      <c r="AA26" s="76"/>
      <c r="AB26" s="515"/>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694"/>
      <c r="C27" s="218">
        <v>5</v>
      </c>
      <c r="D27" s="293" t="e">
        <f>INDEX(Table!I:I,MATCH($A27,Table!$B:$B,0))</f>
        <v>#N/A</v>
      </c>
      <c r="E27" s="137" t="e">
        <f>INDEX(Table!J:J,MATCH($A27,Table!$B:$B,0))</f>
        <v>#N/A</v>
      </c>
      <c r="F27" s="138" t="e">
        <f>INDEX(Table!F:F,MATCH($A27,Table!$B:$B,0))</f>
        <v>#N/A</v>
      </c>
      <c r="G27" s="293" t="e">
        <f>INDEX(Table!K:K,MATCH($A27,Table!$B:$B,0))</f>
        <v>#N/A</v>
      </c>
      <c r="H27" s="137" t="e">
        <f>INDEX(Table!L:L,MATCH($A27,Table!$B:$B,0))</f>
        <v>#N/A</v>
      </c>
      <c r="I27" s="76"/>
      <c r="J27" s="317"/>
      <c r="K27" s="139"/>
      <c r="L27" s="139"/>
      <c r="M27" s="139"/>
      <c r="N27" s="139"/>
      <c r="O27" s="139"/>
      <c r="P27" s="139"/>
      <c r="Q27" s="139"/>
      <c r="R27" s="139"/>
      <c r="S27" s="139"/>
      <c r="T27" s="76"/>
      <c r="U27" s="76"/>
      <c r="V27" s="76"/>
      <c r="W27" s="76"/>
      <c r="X27" s="76"/>
      <c r="Y27" s="76"/>
      <c r="Z27" s="460"/>
      <c r="AA27" s="76"/>
      <c r="AB27" s="515"/>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305</v>
      </c>
      <c r="B28" s="695"/>
      <c r="C28" s="218">
        <v>6</v>
      </c>
      <c r="D28" s="293" t="e">
        <f>INDEX(Table!I:I,MATCH($A28,Table!$B:$B,0))</f>
        <v>#N/A</v>
      </c>
      <c r="E28" s="137" t="e">
        <f>INDEX(Table!J:J,MATCH($A28,Table!$B:$B,0))</f>
        <v>#N/A</v>
      </c>
      <c r="F28" s="138" t="e">
        <f>INDEX(Table!F:F,MATCH($A28,Table!$B:$B,0))</f>
        <v>#N/A</v>
      </c>
      <c r="G28" s="293" t="e">
        <f>INDEX(Table!K:K,MATCH($A28,Table!$B:$B,0))</f>
        <v>#N/A</v>
      </c>
      <c r="H28" s="137" t="e">
        <f>INDEX(Table!L:L,MATCH($A28,Table!$B:$B,0))</f>
        <v>#N/A</v>
      </c>
      <c r="I28" s="76"/>
      <c r="J28" s="317" t="s">
        <v>179</v>
      </c>
      <c r="K28" s="418" t="s">
        <v>182</v>
      </c>
      <c r="L28" s="474"/>
      <c r="M28" s="728" t="str">
        <f>"No submission = "&amp;Picks!$AN1</f>
        <v>No submission = 1</v>
      </c>
      <c r="N28" s="728"/>
      <c r="O28" s="728"/>
      <c r="P28" s="728"/>
      <c r="Q28" s="728"/>
      <c r="R28" s="728"/>
      <c r="S28" s="728"/>
      <c r="T28" s="76"/>
      <c r="U28" s="76"/>
      <c r="V28" s="76"/>
      <c r="W28" s="76"/>
      <c r="X28" s="76"/>
      <c r="Y28" s="76"/>
      <c r="Z28" s="460"/>
      <c r="AA28" s="76"/>
      <c r="AB28" s="515"/>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17"/>
      <c r="K29" s="699" t="s">
        <v>445</v>
      </c>
      <c r="L29" s="707"/>
      <c r="M29" s="516" t="s">
        <v>447</v>
      </c>
      <c r="N29" s="699" t="s">
        <v>446</v>
      </c>
      <c r="O29" s="692"/>
      <c r="P29" s="707"/>
      <c r="Q29" s="692" t="s">
        <v>448</v>
      </c>
      <c r="R29" s="692"/>
      <c r="S29" s="707"/>
      <c r="T29" s="76"/>
      <c r="U29" s="76"/>
      <c r="V29" s="76"/>
      <c r="W29" s="76"/>
      <c r="X29" s="76"/>
      <c r="Y29" s="76"/>
      <c r="Z29" s="460"/>
      <c r="AA29" s="76"/>
      <c r="AB29" s="515"/>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17"/>
      <c r="K30" s="717">
        <f>IF($J$31="Y",K31,'3of3'!$B$5)</f>
        <v>11</v>
      </c>
      <c r="L30" s="718">
        <f>'3of3'!$B$5</f>
        <v>11</v>
      </c>
      <c r="M30" s="136">
        <f>IF(J31="Y",M31,'3of3'!$B$6)</f>
        <v>12</v>
      </c>
      <c r="N30" s="717">
        <f>IF(J31="Y",N31,'3of3'!$B$7)</f>
        <v>20</v>
      </c>
      <c r="O30" s="719">
        <f>'3of3'!$B$6</f>
        <v>12</v>
      </c>
      <c r="P30" s="718">
        <f>'3of3'!$B$6</f>
        <v>12</v>
      </c>
      <c r="Q30" s="717">
        <f>IF(J31="Y",Q31,'3of3'!$B$8)</f>
        <v>3</v>
      </c>
      <c r="R30" s="719">
        <f>'3of3'!$B$6</f>
        <v>12</v>
      </c>
      <c r="S30" s="718">
        <f>'3of3'!$B$6</f>
        <v>12</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49" t="s">
        <v>527</v>
      </c>
      <c r="K31" s="716">
        <v>0</v>
      </c>
      <c r="L31" s="716"/>
      <c r="M31" s="80">
        <v>9</v>
      </c>
      <c r="N31" s="716">
        <v>20</v>
      </c>
      <c r="O31" s="716"/>
      <c r="P31" s="716"/>
      <c r="Q31" s="716">
        <v>17</v>
      </c>
      <c r="R31" s="716"/>
      <c r="S31" s="716"/>
      <c r="T31" s="76"/>
      <c r="U31" s="76"/>
      <c r="V31" s="76"/>
      <c r="W31" s="76"/>
      <c r="X31" s="76"/>
      <c r="Y31" s="76"/>
      <c r="Z31" s="76"/>
      <c r="AA31" s="76"/>
      <c r="AB31" s="76"/>
      <c r="AC31" s="136">
        <f>'3of3'!$B$5</f>
        <v>11</v>
      </c>
      <c r="AD31" s="87"/>
      <c r="AE31" s="139" t="s">
        <v>461</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17"/>
      <c r="K32" s="76"/>
      <c r="L32" s="76"/>
      <c r="M32" s="58"/>
      <c r="N32" s="76"/>
      <c r="O32" s="76"/>
      <c r="P32" s="76"/>
      <c r="Q32" s="76"/>
      <c r="R32" s="76"/>
      <c r="S32" s="76"/>
      <c r="T32" s="76"/>
      <c r="U32" s="76"/>
      <c r="V32" s="76"/>
      <c r="W32" s="76"/>
      <c r="X32" s="76"/>
      <c r="Y32" s="76"/>
      <c r="Z32" s="76"/>
      <c r="AA32" s="76"/>
      <c r="AB32" s="76"/>
      <c r="AC32" s="136">
        <f>'3of3'!$B$6</f>
        <v>12</v>
      </c>
      <c r="AD32" s="87"/>
      <c r="AE32" s="139" t="s">
        <v>462</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17"/>
      <c r="K33" s="76"/>
      <c r="L33" s="76"/>
      <c r="M33" s="76"/>
      <c r="N33" s="76"/>
      <c r="O33" s="76"/>
      <c r="P33" s="76"/>
      <c r="Q33" s="76"/>
      <c r="R33" s="76"/>
      <c r="S33" s="58" t="s">
        <v>453</v>
      </c>
      <c r="T33" s="76"/>
      <c r="U33" s="76"/>
      <c r="V33" s="76"/>
      <c r="W33" s="76"/>
      <c r="X33" s="76"/>
      <c r="Y33" s="76"/>
      <c r="Z33" s="76"/>
      <c r="AA33" s="76"/>
      <c r="AB33" s="76"/>
      <c r="AC33" s="136">
        <f>'3of3'!$B$7</f>
        <v>20</v>
      </c>
      <c r="AD33" s="87"/>
      <c r="AE33" s="139" t="s">
        <v>463</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17"/>
      <c r="K34" s="76"/>
      <c r="L34" s="76"/>
      <c r="M34" s="76"/>
      <c r="N34" s="76"/>
      <c r="O34" s="76"/>
      <c r="P34" s="76"/>
      <c r="Q34" s="76"/>
      <c r="R34" s="76"/>
      <c r="S34" s="414">
        <f>MIN(Picks!AJ:AJ)</f>
        <v>7.3333333333333321</v>
      </c>
      <c r="T34" s="76"/>
      <c r="U34" s="76"/>
      <c r="V34" s="76"/>
      <c r="W34" s="76"/>
      <c r="X34" s="76"/>
      <c r="Y34" s="76"/>
      <c r="Z34" s="76"/>
      <c r="AA34" s="76"/>
      <c r="AB34" s="76"/>
      <c r="AC34" s="136">
        <f>'3of3'!$B$8</f>
        <v>3</v>
      </c>
      <c r="AD34" s="87"/>
      <c r="AE34" s="139" t="s">
        <v>464</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17"/>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17"/>
      <c r="K36" s="76"/>
      <c r="L36" s="76"/>
      <c r="M36" s="76"/>
      <c r="N36" s="76"/>
      <c r="O36" s="76"/>
      <c r="P36" s="76"/>
      <c r="Q36" s="76"/>
      <c r="R36" s="76"/>
      <c r="S36" s="58" t="s">
        <v>419</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17"/>
      <c r="K37" s="76"/>
      <c r="L37" s="76"/>
      <c r="M37" s="76"/>
      <c r="N37" s="76"/>
      <c r="O37" s="76"/>
      <c r="P37" s="76"/>
      <c r="Q37" s="76"/>
      <c r="R37" s="76"/>
      <c r="S37" s="414">
        <f>MAX(Picks!AJ:AJ)</f>
        <v>374.5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17"/>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17"/>
      <c r="K39" s="76"/>
      <c r="L39" s="76"/>
      <c r="M39" s="76"/>
      <c r="N39" s="76"/>
      <c r="O39" s="76"/>
      <c r="P39" s="76"/>
      <c r="Q39" s="76"/>
      <c r="R39" s="76"/>
      <c r="S39" s="76" t="s">
        <v>452</v>
      </c>
      <c r="T39" s="519"/>
      <c r="U39" s="519"/>
      <c r="V39" s="520"/>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17"/>
      <c r="K40" s="76"/>
      <c r="L40" s="76"/>
      <c r="M40" s="76"/>
      <c r="N40" s="76"/>
      <c r="O40" s="76"/>
      <c r="P40" s="76"/>
      <c r="Q40" s="76"/>
      <c r="R40" s="76"/>
      <c r="S40" s="518" t="str">
        <f>IF($M$22="","",INDEX(Picks!$A:$A,MATCH($M$22,Picks!$J:$J,0)))</f>
        <v>Dan Gibbard</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17"/>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17"/>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17"/>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17"/>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17"/>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17"/>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17"/>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17"/>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17"/>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17"/>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18"/>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dataValidations count="1">
    <dataValidation type="list" allowBlank="1" showInputMessage="1" showErrorMessage="1" sqref="M19:M20 O19:Q20 M22" xr:uid="{AD39DFB4-3608-4F3B-8EC5-53086BCCF147}">
      <formula1>choices</formula1>
    </dataValidation>
  </dataValidation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6" sqref="B6"/>
    </sheetView>
  </sheetViews>
  <sheetFormatPr defaultRowHeight="12.75"/>
  <cols>
    <col min="1" max="1" width="2.73046875" customWidth="1"/>
    <col min="2" max="2" width="20" customWidth="1"/>
    <col min="3" max="3" width="4.59765625" customWidth="1"/>
    <col min="6" max="6" width="10.86328125" customWidth="1"/>
    <col min="7" max="7" width="3.1328125" customWidth="1"/>
    <col min="8" max="8" width="8.86328125" customWidth="1"/>
    <col min="9" max="10" width="9.1328125" customWidth="1"/>
    <col min="11" max="11" width="8.73046875" customWidth="1"/>
  </cols>
  <sheetData>
    <row r="1" spans="1:22" ht="29.1" customHeight="1">
      <c r="A1" s="348" t="s">
        <v>333</v>
      </c>
      <c r="B1" s="555" t="str">
        <f>"Round "&amp;CurrentWeek</f>
        <v>Round 05</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17">
        <f>COUNTIF($B4:$B6,"")</f>
        <v>0</v>
      </c>
      <c r="C3" s="76"/>
      <c r="D3" s="153" t="s">
        <v>155</v>
      </c>
      <c r="E3" s="153" t="s">
        <v>156</v>
      </c>
      <c r="F3" s="154" t="s">
        <v>13</v>
      </c>
      <c r="G3" s="80"/>
      <c r="H3" s="149">
        <f>E4</f>
        <v>1.85</v>
      </c>
      <c r="I3" s="149">
        <f>E5</f>
        <v>1.7272727272727273</v>
      </c>
      <c r="J3" s="149">
        <f>E6</f>
        <v>2.1</v>
      </c>
      <c r="K3" s="554">
        <f>IF(B3&lt;&gt;0,"",H3)</f>
        <v>1.85</v>
      </c>
      <c r="L3" s="150">
        <f>IF(B3&lt;&gt;0,"",I3)</f>
        <v>1.7272727272727273</v>
      </c>
      <c r="M3" s="150">
        <f>IF(B3&lt;&gt;0,"",J3)</f>
        <v>2.1</v>
      </c>
      <c r="N3" s="554">
        <f>IF(B3&lt;&gt;0,"",H3*I3)</f>
        <v>3.1954545454545458</v>
      </c>
      <c r="O3" s="150">
        <f>IF(B3&lt;&gt;0,"",I3*J3)</f>
        <v>3.6272727272727274</v>
      </c>
      <c r="P3" s="150">
        <f>IF(B3&lt;&gt;0,"",H3*J3)</f>
        <v>3.8850000000000002</v>
      </c>
      <c r="Q3" s="150">
        <f>IF(B3&lt;&gt;0,"",N3*J3)</f>
        <v>6.7104545454545468</v>
      </c>
      <c r="R3" s="76"/>
    </row>
    <row r="4" spans="1:22" ht="16.149999999999999" thickBot="1">
      <c r="A4" s="556">
        <v>1</v>
      </c>
      <c r="B4" s="89" t="s">
        <v>543</v>
      </c>
      <c r="C4" s="155" t="s">
        <v>178</v>
      </c>
      <c r="D4" s="553" t="str">
        <f>IF(B3&lt;&gt;0,"",INDEX(Odds!H:H,MATCH(B4,Odds!G:G,0)))</f>
        <v>17/20</v>
      </c>
      <c r="E4" s="554">
        <f>IF(B3&lt;&gt;0,"",INDEX(Odds!I:I,MATCH(B4,Odds!G:G,0)))</f>
        <v>1.85</v>
      </c>
      <c r="F4" s="148">
        <v>1</v>
      </c>
      <c r="G4" s="80"/>
      <c r="H4" s="80"/>
      <c r="I4" s="80"/>
      <c r="J4" s="80"/>
      <c r="K4" s="80"/>
      <c r="L4" s="80"/>
      <c r="M4" s="80"/>
      <c r="N4" s="369" t="s">
        <v>482</v>
      </c>
      <c r="O4" s="369" t="s">
        <v>481</v>
      </c>
      <c r="P4" s="369" t="s">
        <v>483</v>
      </c>
      <c r="Q4" s="369" t="s">
        <v>484</v>
      </c>
      <c r="R4" s="76"/>
    </row>
    <row r="5" spans="1:22" ht="15.75">
      <c r="A5" s="556">
        <v>2</v>
      </c>
      <c r="B5" s="89" t="s">
        <v>537</v>
      </c>
      <c r="C5" s="155" t="s">
        <v>178</v>
      </c>
      <c r="D5" s="553" t="str">
        <f>IF(B3&lt;&gt;0,"",INDEX(Odds!H:H,MATCH(B5,Odds!G:G,0)))</f>
        <v>8/11</v>
      </c>
      <c r="E5" s="554">
        <f>IF(B3&lt;&gt;0,"",INDEX(Odds!I:I,MATCH(B5,Odds!G:G,0)))</f>
        <v>1.7272727272727273</v>
      </c>
      <c r="F5" s="148">
        <v>1</v>
      </c>
      <c r="G5" s="80"/>
      <c r="H5" s="80"/>
      <c r="I5" s="80"/>
      <c r="J5" s="80"/>
      <c r="K5" s="5" t="s">
        <v>13</v>
      </c>
      <c r="L5" s="5" t="s">
        <v>28</v>
      </c>
      <c r="M5" s="76"/>
      <c r="N5" s="76"/>
      <c r="O5" s="80"/>
      <c r="P5" s="80"/>
      <c r="Q5" s="80"/>
      <c r="R5" s="76"/>
    </row>
    <row r="6" spans="1:22" ht="16.149999999999999" thickBot="1">
      <c r="A6" s="556">
        <v>3</v>
      </c>
      <c r="B6" s="89" t="s">
        <v>536</v>
      </c>
      <c r="C6" s="155" t="s">
        <v>178</v>
      </c>
      <c r="D6" s="553" t="str">
        <f>IF(B3&lt;&gt;0,"",INDEX(Odds!H:H,MATCH(B6,Odds!G:G,0)))</f>
        <v>11/10</v>
      </c>
      <c r="E6" s="554">
        <f>IF(B3&lt;&gt;0,"",INDEX(Odds!I:I,MATCH(B6,Odds!G:G,0)))</f>
        <v>2.1</v>
      </c>
      <c r="F6" s="148">
        <v>1</v>
      </c>
      <c r="G6" s="80"/>
      <c r="H6" s="80"/>
      <c r="I6" s="80"/>
      <c r="J6" s="80"/>
      <c r="K6" s="6">
        <f>IF(B3&lt;&gt;0,"",SUM(F4:F6))</f>
        <v>3</v>
      </c>
      <c r="L6" s="7">
        <f>IF(B3&lt;&gt;0,"",SUM(K3:Q3)-7)</f>
        <v>16.095454545454547</v>
      </c>
      <c r="M6" s="76"/>
      <c r="N6" s="76"/>
      <c r="O6" s="80"/>
      <c r="P6" s="80"/>
      <c r="Q6" s="80"/>
      <c r="R6" s="76"/>
    </row>
    <row r="7" spans="1:22">
      <c r="A7" s="76"/>
      <c r="B7" s="76"/>
      <c r="C7" s="76"/>
      <c r="D7" s="80"/>
      <c r="E7" s="554"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1.7272727272727273</v>
      </c>
      <c r="J10" s="149">
        <f>IF(F13=0,0,E13)</f>
        <v>2.1</v>
      </c>
      <c r="K10" s="554">
        <f>IF(B10&lt;&gt;0,"",H10)</f>
        <v>0</v>
      </c>
      <c r="L10" s="150">
        <f>IF(B10&lt;&gt;0,"",I10)</f>
        <v>1.7272727272727273</v>
      </c>
      <c r="M10" s="150">
        <f>IF(B10&lt;&gt;0,"",J10)</f>
        <v>2.1</v>
      </c>
      <c r="N10" s="554">
        <f>IF(B10&lt;&gt;0,"",H10*I10)</f>
        <v>0</v>
      </c>
      <c r="O10" s="150">
        <f>IF(B10&lt;&gt;0,"",I10*J10)</f>
        <v>3.6272727272727274</v>
      </c>
      <c r="P10" s="150">
        <f>IF(B10&lt;&gt;0,"",H10*J10)</f>
        <v>0</v>
      </c>
      <c r="Q10" s="150">
        <f>IF(B10&lt;&gt;0,"",N10*J10)</f>
        <v>0</v>
      </c>
      <c r="R10" s="80"/>
    </row>
    <row r="11" spans="1:22" ht="16.149999999999999" thickBot="1">
      <c r="A11" s="556">
        <v>1</v>
      </c>
      <c r="B11" s="89" t="str">
        <f>$B4</f>
        <v>Wrexham</v>
      </c>
      <c r="C11" s="159" t="s">
        <v>177</v>
      </c>
      <c r="D11" s="151" t="str">
        <f>IF(B10&lt;&gt;0,"",INDEX(Odds!H:H,MATCH(B11,Odds!G:G,0)))</f>
        <v>17/20</v>
      </c>
      <c r="E11" s="554">
        <f>IF(B10&lt;&gt;0,"",INDEX(Odds!I:I,MATCH(B11,Odds!G:G,0)))</f>
        <v>1.85</v>
      </c>
      <c r="F11" s="148">
        <v>0</v>
      </c>
      <c r="G11" s="80"/>
      <c r="H11" s="80"/>
      <c r="I11" s="80"/>
      <c r="J11" s="80"/>
      <c r="K11" s="80"/>
      <c r="L11" s="80"/>
      <c r="M11" s="80"/>
      <c r="N11" s="80"/>
      <c r="O11" s="80"/>
      <c r="P11" s="80"/>
      <c r="Q11" s="80"/>
      <c r="R11" s="80"/>
    </row>
    <row r="12" spans="1:22" ht="15.75">
      <c r="A12" s="556">
        <v>2</v>
      </c>
      <c r="B12" s="89" t="str">
        <f>$B5</f>
        <v>Coventry</v>
      </c>
      <c r="C12" s="155" t="s">
        <v>178</v>
      </c>
      <c r="D12" s="151" t="str">
        <f>IF(B10&lt;&gt;0,"",INDEX(Odds!H:H,MATCH(B12,Odds!G:G,0)))</f>
        <v>8/11</v>
      </c>
      <c r="E12" s="554">
        <f>IF(B10&lt;&gt;0,"",INDEX(Odds!I:I,MATCH(B12,Odds!G:G,0)))</f>
        <v>1.7272727272727273</v>
      </c>
      <c r="F12" s="148">
        <v>1</v>
      </c>
      <c r="G12" s="80"/>
      <c r="H12" s="80"/>
      <c r="I12" s="80"/>
      <c r="J12" s="80"/>
      <c r="K12" s="5" t="s">
        <v>13</v>
      </c>
      <c r="L12" s="5" t="s">
        <v>28</v>
      </c>
      <c r="M12" s="76"/>
      <c r="N12" s="76"/>
      <c r="O12" s="80"/>
      <c r="P12" s="80"/>
      <c r="Q12" s="80"/>
      <c r="R12" s="80"/>
    </row>
    <row r="13" spans="1:22" ht="16.149999999999999" thickBot="1">
      <c r="A13" s="556">
        <v>3</v>
      </c>
      <c r="B13" s="89" t="str">
        <f>$B6</f>
        <v>Bristol C</v>
      </c>
      <c r="C13" s="155" t="s">
        <v>178</v>
      </c>
      <c r="D13" s="151" t="str">
        <f>IF(B10&lt;&gt;0,"",INDEX(Odds!H:H,MATCH(B13,Odds!G:G,0)))</f>
        <v>11/10</v>
      </c>
      <c r="E13" s="554">
        <f>IF(B10&lt;&gt;0,"",INDEX(Odds!I:I,MATCH(B13,Odds!G:G,0)))</f>
        <v>2.1</v>
      </c>
      <c r="F13" s="148">
        <v>1</v>
      </c>
      <c r="G13" s="80"/>
      <c r="H13" s="80"/>
      <c r="I13" s="80"/>
      <c r="J13" s="80"/>
      <c r="K13" s="6">
        <f>SUM(F11:F13)</f>
        <v>2</v>
      </c>
      <c r="L13" s="7">
        <f>SUM(K10:Q10)-7</f>
        <v>0.45454545454545503</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1.85</v>
      </c>
      <c r="I17" s="149">
        <f>IF(F19=0,0,E19)</f>
        <v>1.7272727272727273</v>
      </c>
      <c r="J17" s="149">
        <f>IF(F20=0,0,E20)</f>
        <v>0</v>
      </c>
      <c r="K17" s="150">
        <f>IF(H17=0,0,1)+H17</f>
        <v>2.85</v>
      </c>
      <c r="L17" s="150">
        <f>IF(I17=0,0,1)+I17</f>
        <v>2.7272727272727275</v>
      </c>
      <c r="M17" s="150">
        <f>IF(J17=0,0,1)+J17</f>
        <v>0</v>
      </c>
      <c r="N17" s="150">
        <f>IF(I17=0,0,(K17*I17)+K17)</f>
        <v>7.7727272727272734</v>
      </c>
      <c r="O17" s="150">
        <f>IF(J17=0,0,(L17*J17)+L17)</f>
        <v>0</v>
      </c>
      <c r="P17" s="150">
        <f>IF(H17=0,0,(M17*H17)+M17)</f>
        <v>0</v>
      </c>
      <c r="Q17" s="150">
        <f>IF(J17=0,0,(N17*J17)+N17)</f>
        <v>0</v>
      </c>
      <c r="R17" s="80"/>
      <c r="S17" s="76"/>
      <c r="T17" s="76"/>
      <c r="U17" s="76"/>
      <c r="V17" s="76"/>
    </row>
    <row r="18" spans="1:22" ht="16.149999999999999" thickBot="1">
      <c r="A18" s="556">
        <v>1</v>
      </c>
      <c r="B18" s="89" t="str">
        <f>$B11</f>
        <v>Wrexham</v>
      </c>
      <c r="C18" s="155" t="s">
        <v>178</v>
      </c>
      <c r="D18" s="151" t="str">
        <f>IF(B17&lt;&gt;0,"",INDEX(Odds!H:H,MATCH(B18,Odds!G:G,0)))</f>
        <v>17/20</v>
      </c>
      <c r="E18" s="554">
        <f>IF(B17&lt;&gt;0,"",INDEX(Odds!I:I,MATCH(B18,Odds!G:G,0)))</f>
        <v>1.85</v>
      </c>
      <c r="F18" s="148">
        <v>1</v>
      </c>
      <c r="G18" s="80"/>
      <c r="H18" s="80"/>
      <c r="I18" s="80"/>
      <c r="J18" s="80"/>
      <c r="K18" s="80"/>
      <c r="L18" s="80"/>
      <c r="M18" s="80"/>
      <c r="N18" s="80"/>
      <c r="O18" s="80"/>
      <c r="P18" s="80"/>
      <c r="Q18" s="80"/>
      <c r="R18" s="80"/>
      <c r="S18" s="76"/>
      <c r="T18" s="76"/>
      <c r="U18" s="76"/>
      <c r="V18" s="76"/>
    </row>
    <row r="19" spans="1:22" ht="15.75">
      <c r="A19" s="556">
        <v>2</v>
      </c>
      <c r="B19" s="89" t="str">
        <f>$B12</f>
        <v>Coventry</v>
      </c>
      <c r="C19" s="155" t="s">
        <v>178</v>
      </c>
      <c r="D19" s="151" t="str">
        <f>IF(B17&lt;&gt;0,"",INDEX(Odds!H:H,MATCH(B19,Odds!G:G,0)))</f>
        <v>8/11</v>
      </c>
      <c r="E19" s="554">
        <f>IF(B17&lt;&gt;0,"",INDEX(Odds!I:I,MATCH(B19,Odds!G:G,0)))</f>
        <v>1.7272727272727273</v>
      </c>
      <c r="F19" s="148">
        <v>1</v>
      </c>
      <c r="G19" s="80"/>
      <c r="H19" s="80"/>
      <c r="I19" s="80"/>
      <c r="J19" s="80"/>
      <c r="K19" s="5" t="s">
        <v>13</v>
      </c>
      <c r="L19" s="5" t="s">
        <v>28</v>
      </c>
      <c r="M19" s="76"/>
      <c r="N19" s="76"/>
      <c r="O19" s="80"/>
      <c r="P19" s="80"/>
      <c r="Q19" s="80"/>
      <c r="R19" s="80"/>
      <c r="S19" s="76"/>
      <c r="T19" s="76"/>
      <c r="U19" s="76"/>
      <c r="V19" s="76"/>
    </row>
    <row r="20" spans="1:22" ht="16.149999999999999" thickBot="1">
      <c r="A20" s="556">
        <v>3</v>
      </c>
      <c r="B20" s="89" t="str">
        <f>$B13</f>
        <v>Bristol C</v>
      </c>
      <c r="C20" s="159" t="s">
        <v>177</v>
      </c>
      <c r="D20" s="151" t="str">
        <f>IF(B17&lt;&gt;0,"",INDEX(Odds!H:H,MATCH(B20,Odds!G:G,0)))</f>
        <v>11/10</v>
      </c>
      <c r="E20" s="554">
        <f>IF(B17&lt;&gt;0,"",INDEX(Odds!I:I,MATCH(B20,Odds!G:G,0)))</f>
        <v>2.1</v>
      </c>
      <c r="F20" s="148">
        <v>0</v>
      </c>
      <c r="G20" s="80"/>
      <c r="H20" s="80"/>
      <c r="I20" s="80"/>
      <c r="J20" s="80"/>
      <c r="K20" s="6">
        <f>SUM(F18:F20)</f>
        <v>2</v>
      </c>
      <c r="L20" s="7">
        <f>SUM(K17:Q17)-7</f>
        <v>6.3500000000000014</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1.85</v>
      </c>
      <c r="I24" s="149">
        <f>IF(F26=0,0,E26)</f>
        <v>0</v>
      </c>
      <c r="J24" s="149">
        <f>IF(F27=0,0,E27)</f>
        <v>2.1</v>
      </c>
      <c r="K24" s="150">
        <f>IF(H24=0,0,1)+H24</f>
        <v>2.85</v>
      </c>
      <c r="L24" s="150">
        <f>IF(I24=0,0,1)+I24</f>
        <v>0</v>
      </c>
      <c r="M24" s="150">
        <f>IF(J24=0,0,1)+J24</f>
        <v>3.1</v>
      </c>
      <c r="N24" s="150">
        <f>IF(I24=0,0,(K24*I24)+K24)</f>
        <v>0</v>
      </c>
      <c r="O24" s="150">
        <f>IF(J24=0,0,(L24*J24)+L24)</f>
        <v>0</v>
      </c>
      <c r="P24" s="150">
        <f>IF(H24=0,0,(M24*H24)+M24)</f>
        <v>8.8350000000000009</v>
      </c>
      <c r="Q24" s="150">
        <f>IF(J24=0,0,(N24*J24)+N24)</f>
        <v>0</v>
      </c>
      <c r="R24" s="80"/>
      <c r="S24" s="76"/>
      <c r="T24" s="76"/>
      <c r="U24" s="76"/>
      <c r="V24" s="76"/>
    </row>
    <row r="25" spans="1:22" ht="16.149999999999999" thickBot="1">
      <c r="A25" s="556">
        <v>1</v>
      </c>
      <c r="B25" s="89" t="str">
        <f>$B18</f>
        <v>Wrexham</v>
      </c>
      <c r="C25" s="155" t="s">
        <v>178</v>
      </c>
      <c r="D25" s="151" t="str">
        <f>IF(B24&lt;&gt;0,"",INDEX(Odds!H:H,MATCH(B25,Odds!G:G,0)))</f>
        <v>17/20</v>
      </c>
      <c r="E25" s="554">
        <f>IF(B24&lt;&gt;0,"",INDEX(Odds!I:I,MATCH(B25,Odds!G:G,0)))</f>
        <v>1.85</v>
      </c>
      <c r="F25" s="148">
        <v>1</v>
      </c>
      <c r="G25" s="80"/>
      <c r="H25" s="80"/>
      <c r="I25" s="80"/>
      <c r="J25" s="80"/>
      <c r="K25" s="80"/>
      <c r="L25" s="80"/>
      <c r="M25" s="80"/>
      <c r="N25" s="80"/>
      <c r="O25" s="80"/>
      <c r="P25" s="80"/>
      <c r="Q25" s="80"/>
      <c r="R25" s="80"/>
      <c r="S25" s="76"/>
      <c r="T25" s="76"/>
      <c r="U25" s="76"/>
      <c r="V25" s="76"/>
    </row>
    <row r="26" spans="1:22" ht="15.75">
      <c r="A26" s="556">
        <v>2</v>
      </c>
      <c r="B26" s="89" t="str">
        <f>$B19</f>
        <v>Coventry</v>
      </c>
      <c r="C26" s="159" t="s">
        <v>177</v>
      </c>
      <c r="D26" s="151" t="str">
        <f>IF(B24&lt;&gt;0,"",INDEX(Odds!H:H,MATCH(B26,Odds!G:G,0)))</f>
        <v>8/11</v>
      </c>
      <c r="E26" s="554">
        <f>IF(B24&lt;&gt;0,"",INDEX(Odds!I:I,MATCH(B26,Odds!G:G,0)))</f>
        <v>1.7272727272727273</v>
      </c>
      <c r="F26" s="148">
        <v>0</v>
      </c>
      <c r="G26" s="80"/>
      <c r="H26" s="80"/>
      <c r="I26" s="80"/>
      <c r="J26" s="80"/>
      <c r="K26" s="5" t="s">
        <v>13</v>
      </c>
      <c r="L26" s="5" t="s">
        <v>28</v>
      </c>
      <c r="M26" s="76"/>
      <c r="N26" s="76"/>
      <c r="O26" s="80"/>
      <c r="P26" s="80"/>
      <c r="Q26" s="80"/>
      <c r="R26" s="80"/>
      <c r="S26" s="76"/>
      <c r="T26" s="76"/>
      <c r="U26" s="76"/>
      <c r="V26" s="76"/>
    </row>
    <row r="27" spans="1:22" ht="16.149999999999999" thickBot="1">
      <c r="A27" s="556">
        <v>3</v>
      </c>
      <c r="B27" s="89" t="str">
        <f>$B20</f>
        <v>Bristol C</v>
      </c>
      <c r="C27" s="155" t="s">
        <v>178</v>
      </c>
      <c r="D27" s="151" t="str">
        <f>IF(B24&lt;&gt;0,"",INDEX(Odds!H:H,MATCH(B27,Odds!G:G,0)))</f>
        <v>11/10</v>
      </c>
      <c r="E27" s="554">
        <f>IF(B24&lt;&gt;0,"",INDEX(Odds!I:I,MATCH(B27,Odds!G:G,0)))</f>
        <v>2.1</v>
      </c>
      <c r="F27" s="148">
        <v>1</v>
      </c>
      <c r="G27" s="80"/>
      <c r="H27" s="80"/>
      <c r="I27" s="80"/>
      <c r="J27" s="80"/>
      <c r="K27" s="6">
        <f>SUM(F25:F27)</f>
        <v>2</v>
      </c>
      <c r="L27" s="7">
        <f>SUM(K24:Q24)-7</f>
        <v>7.7850000000000001</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2.1</v>
      </c>
      <c r="K31" s="150">
        <f>IF(H31=0,0,1)+H31</f>
        <v>0</v>
      </c>
      <c r="L31" s="150">
        <f>IF(I31=0,0,1)+I31</f>
        <v>0</v>
      </c>
      <c r="M31" s="150">
        <f>IF(J31=0,0,1)+J31</f>
        <v>3.1</v>
      </c>
      <c r="N31" s="150">
        <f>IF(I31=0,0,(K31*I31)+K31)</f>
        <v>0</v>
      </c>
      <c r="O31" s="150">
        <f>IF(J31=0,0,(L31*J31)+L31)</f>
        <v>0</v>
      </c>
      <c r="P31" s="150">
        <f>IF(H31=0,0,(M31*H31)+M31)</f>
        <v>0</v>
      </c>
      <c r="Q31" s="150">
        <f>IF(J31=0,0,(N31*J31)+N31)</f>
        <v>0</v>
      </c>
      <c r="R31" s="76"/>
      <c r="S31" s="76"/>
      <c r="T31" s="76"/>
      <c r="U31" s="76"/>
      <c r="V31" s="76"/>
    </row>
    <row r="32" spans="1:22" ht="16.149999999999999" thickBot="1">
      <c r="A32" s="556">
        <v>1</v>
      </c>
      <c r="B32" s="89" t="str">
        <f>$B25</f>
        <v>Wrexham</v>
      </c>
      <c r="C32" s="159" t="s">
        <v>177</v>
      </c>
      <c r="D32" s="151" t="str">
        <f>IF(B31&lt;&gt;0,"",INDEX(Odds!H:H,MATCH(B32,Odds!G:G,0)))</f>
        <v>17/20</v>
      </c>
      <c r="E32" s="554">
        <f>IF(B31&lt;&gt;0,"",INDEX(Odds!I:I,MATCH(B32,Odds!G:G,0)))</f>
        <v>1.85</v>
      </c>
      <c r="F32" s="148">
        <v>0</v>
      </c>
      <c r="G32" s="80"/>
      <c r="H32" s="80"/>
      <c r="I32" s="80"/>
      <c r="J32" s="80"/>
      <c r="K32" s="80"/>
      <c r="L32" s="80"/>
      <c r="M32" s="80"/>
      <c r="N32" s="80"/>
      <c r="O32" s="80"/>
      <c r="P32" s="80"/>
      <c r="Q32" s="80"/>
      <c r="R32" s="76"/>
      <c r="S32" s="76"/>
      <c r="T32" s="76"/>
      <c r="U32" s="76"/>
      <c r="V32" s="76"/>
    </row>
    <row r="33" spans="1:22" ht="15.75">
      <c r="A33" s="556">
        <v>2</v>
      </c>
      <c r="B33" s="89" t="str">
        <f>$B26</f>
        <v>Coventry</v>
      </c>
      <c r="C33" s="159" t="s">
        <v>177</v>
      </c>
      <c r="D33" s="151" t="str">
        <f>IF(B31&lt;&gt;0,"",INDEX(Odds!H:H,MATCH(B33,Odds!G:G,0)))</f>
        <v>8/11</v>
      </c>
      <c r="E33" s="554">
        <f>IF(B31&lt;&gt;0,"",INDEX(Odds!I:I,MATCH(B33,Odds!G:G,0)))</f>
        <v>1.7272727272727273</v>
      </c>
      <c r="F33" s="148">
        <v>0</v>
      </c>
      <c r="G33" s="80"/>
      <c r="H33" s="80"/>
      <c r="I33" s="80"/>
      <c r="J33" s="80"/>
      <c r="K33" s="5" t="s">
        <v>13</v>
      </c>
      <c r="L33" s="5" t="s">
        <v>28</v>
      </c>
      <c r="M33" s="76"/>
      <c r="N33" s="76"/>
      <c r="O33" s="80"/>
      <c r="P33" s="80"/>
      <c r="Q33" s="80"/>
      <c r="R33" s="76"/>
      <c r="S33" s="76"/>
      <c r="T33" s="76"/>
      <c r="U33" s="76"/>
      <c r="V33" s="76"/>
    </row>
    <row r="34" spans="1:22" ht="16.149999999999999" thickBot="1">
      <c r="A34" s="556">
        <v>3</v>
      </c>
      <c r="B34" s="89" t="str">
        <f>$B27</f>
        <v>Bristol C</v>
      </c>
      <c r="C34" s="155" t="s">
        <v>178</v>
      </c>
      <c r="D34" s="151" t="str">
        <f>IF(B31&lt;&gt;0,"",INDEX(Odds!H:H,MATCH(B34,Odds!G:G,0)))</f>
        <v>11/10</v>
      </c>
      <c r="E34" s="554">
        <f>IF(B31&lt;&gt;0,"",INDEX(Odds!I:I,MATCH(B34,Odds!G:G,0)))</f>
        <v>2.1</v>
      </c>
      <c r="F34" s="148">
        <v>1</v>
      </c>
      <c r="G34" s="80"/>
      <c r="H34" s="80"/>
      <c r="I34" s="80"/>
      <c r="J34" s="80"/>
      <c r="K34" s="6">
        <f>SUM(F32:F34)</f>
        <v>1</v>
      </c>
      <c r="L34" s="7">
        <f>SUM(K31:Q31)-7</f>
        <v>-3.9</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56">
        <v>1</v>
      </c>
      <c r="B39" s="89" t="str">
        <f>$B32</f>
        <v>Wrexham</v>
      </c>
      <c r="C39" s="159" t="s">
        <v>177</v>
      </c>
      <c r="D39" s="151" t="str">
        <f>IF(B38&lt;&gt;0,"",INDEX(Odds!H:H,MATCH(B39,Odds!G:G,0)))</f>
        <v>17/20</v>
      </c>
      <c r="E39" s="554">
        <f>IF(B38&lt;&gt;0,"",INDEX(Odds!I:I,MATCH(B39,Odds!G:G,0)))</f>
        <v>1.85</v>
      </c>
      <c r="F39" s="148">
        <v>0</v>
      </c>
      <c r="G39" s="80"/>
      <c r="H39" s="80"/>
      <c r="I39" s="80"/>
      <c r="J39" s="80"/>
      <c r="K39" s="80"/>
      <c r="L39" s="80"/>
      <c r="M39" s="80"/>
      <c r="N39" s="80"/>
      <c r="O39" s="80"/>
      <c r="P39" s="80"/>
      <c r="Q39" s="80"/>
      <c r="R39" s="76"/>
      <c r="S39" s="76"/>
      <c r="T39" s="76"/>
      <c r="U39" s="76"/>
      <c r="V39" s="76"/>
    </row>
    <row r="40" spans="1:22" ht="15.75">
      <c r="A40" s="556">
        <v>2</v>
      </c>
      <c r="B40" s="89" t="str">
        <f>$B33</f>
        <v>Coventry</v>
      </c>
      <c r="C40" s="159" t="s">
        <v>177</v>
      </c>
      <c r="D40" s="151" t="str">
        <f>IF(B38&lt;&gt;0,"",INDEX(Odds!H:H,MATCH(B40,Odds!G:G,0)))</f>
        <v>8/11</v>
      </c>
      <c r="E40" s="554">
        <f>IF(B38&lt;&gt;0,"",INDEX(Odds!I:I,MATCH(B40,Odds!G:G,0)))</f>
        <v>1.7272727272727273</v>
      </c>
      <c r="F40" s="148">
        <v>0</v>
      </c>
      <c r="G40" s="80"/>
      <c r="H40" s="80"/>
      <c r="I40" s="80"/>
      <c r="J40" s="80"/>
      <c r="K40" s="5" t="s">
        <v>13</v>
      </c>
      <c r="L40" s="5" t="s">
        <v>28</v>
      </c>
      <c r="M40" s="76"/>
      <c r="N40" s="76"/>
      <c r="O40" s="80"/>
      <c r="P40" s="80"/>
      <c r="Q40" s="80"/>
      <c r="R40" s="76"/>
      <c r="S40" s="76"/>
      <c r="T40" s="76"/>
      <c r="U40" s="76"/>
      <c r="V40" s="76"/>
    </row>
    <row r="41" spans="1:22" ht="16.149999999999999" thickBot="1">
      <c r="A41" s="556">
        <v>3</v>
      </c>
      <c r="B41" s="89" t="str">
        <f>$B34</f>
        <v>Bristol C</v>
      </c>
      <c r="C41" s="159" t="s">
        <v>177</v>
      </c>
      <c r="D41" s="151" t="str">
        <f>IF(B38&lt;&gt;0,"",INDEX(Odds!H:H,MATCH(B41,Odds!G:G,0)))</f>
        <v>11/10</v>
      </c>
      <c r="E41" s="554">
        <f>IF(B38&lt;&gt;0,"",INDEX(Odds!I:I,MATCH(B41,Odds!G:G,0)))</f>
        <v>2.1</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34"/>
  <sheetViews>
    <sheetView zoomScaleNormal="100" workbookViewId="0">
      <pane ySplit="1" topLeftCell="A113" activePane="bottomLeft" state="frozen"/>
      <selection pane="bottomLeft" activeCell="A131" sqref="A131"/>
    </sheetView>
  </sheetViews>
  <sheetFormatPr defaultRowHeight="12.75"/>
  <cols>
    <col min="1" max="1" width="23.1328125" customWidth="1"/>
    <col min="2" max="2" width="23.73046875" customWidth="1"/>
    <col min="3" max="3" width="11.265625" style="542"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39"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West Ham draw</v>
      </c>
      <c r="C2" s="540">
        <f>IF(Picks!C2="","",Picks!C2)</f>
        <v>7</v>
      </c>
      <c r="D2" s="108">
        <f>IF(Picks!D2="","",Picks!D2)</f>
        <v>3.4</v>
      </c>
      <c r="E2" s="109" t="str">
        <f>IF(Picks!E2="","",Picks!E2)</f>
        <v>x</v>
      </c>
      <c r="F2" s="110">
        <f>IF(Picks!F2="","",Picks!F2)</f>
        <v>-7</v>
      </c>
      <c r="G2" s="111">
        <f>IF(Picks!G2="","",Picks!G2)</f>
        <v>64.16</v>
      </c>
    </row>
    <row r="3" spans="1:7" ht="13.15">
      <c r="A3" s="112"/>
      <c r="B3" s="59" t="str">
        <f>IF(Picks!B3="","",Picks!B3)</f>
        <v>Wimbledon draw</v>
      </c>
      <c r="C3" s="540">
        <f>IF(Picks!C3="","",Picks!C3)</f>
        <v>7</v>
      </c>
      <c r="D3" s="44">
        <f>IF(Picks!D3="","",Picks!D3)</f>
        <v>3.1</v>
      </c>
      <c r="E3" s="79" t="str">
        <f>IF(Picks!E3="","",Picks!E3)</f>
        <v>x</v>
      </c>
      <c r="F3" s="129" t="str">
        <f>IF(Picks!F3="","",Picks!F3)</f>
        <v/>
      </c>
      <c r="G3" s="44" t="str">
        <f>IF(Picks!G3="","",Picks!G3)</f>
        <v/>
      </c>
    </row>
    <row r="4" spans="1:7" ht="13.5" thickBot="1">
      <c r="A4" s="130"/>
      <c r="B4" s="125" t="str">
        <f>IF(Picks!B4="","",Picks!B4)</f>
        <v>Gillingham draw</v>
      </c>
      <c r="C4" s="541">
        <f>IF(Picks!C4="","",Picks!C4)</f>
        <v>7</v>
      </c>
      <c r="D4" s="126">
        <f>IF(Picks!D4="","",Picks!D4)</f>
        <v>3</v>
      </c>
      <c r="E4" s="79" t="str">
        <f>IF(Picks!E4="","",Picks!E4)</f>
        <v>x</v>
      </c>
      <c r="F4" s="129" t="str">
        <f>IF(Picks!F4="","",Picks!F4)</f>
        <v/>
      </c>
      <c r="G4" s="44" t="str">
        <f>IF(Picks!G4="","",Picks!G4)</f>
        <v/>
      </c>
    </row>
    <row r="5" spans="1:7" ht="13.9" thickTop="1" thickBot="1">
      <c r="A5" s="112" t="str">
        <f>IF(Picks!A5="","",Picks!A5)</f>
        <v>Alan Rogers</v>
      </c>
      <c r="B5" s="107" t="str">
        <f>IF(Picks!B5="","",Picks!B5)</f>
        <v>Fleetwood</v>
      </c>
      <c r="C5" s="540">
        <f>IF(Picks!C5="","",Picks!C5)</f>
        <v>7</v>
      </c>
      <c r="D5" s="108">
        <f>IF(Picks!D5="","",Picks!D5)</f>
        <v>2.75</v>
      </c>
      <c r="E5" s="109" t="str">
        <f>IF(Picks!E5="","",Picks!E5)</f>
        <v>x</v>
      </c>
      <c r="F5" s="110">
        <f>IF(Picks!F5="","",Picks!F5)</f>
        <v>-4.7</v>
      </c>
      <c r="G5" s="111">
        <f>IF(Picks!G5="","",Picks!G5)</f>
        <v>30.981250000000003</v>
      </c>
    </row>
    <row r="6" spans="1:7" ht="13.15">
      <c r="A6" s="112"/>
      <c r="B6" s="59" t="str">
        <f>IF(Picks!B6="","",Picks!B6)</f>
        <v>Gillingham</v>
      </c>
      <c r="C6" s="540">
        <f>IF(Picks!C6="","",Picks!C6)</f>
        <v>7</v>
      </c>
      <c r="D6" s="44">
        <f>IF(Picks!D6="","",Picks!D6)</f>
        <v>2.2999999999999998</v>
      </c>
      <c r="E6" s="79" t="str">
        <f>IF(Picks!E6="","",Picks!E6)</f>
        <v>√</v>
      </c>
      <c r="F6" s="129" t="str">
        <f>IF(Picks!F6="","",Picks!F6)</f>
        <v/>
      </c>
      <c r="G6" s="44" t="str">
        <f>IF(Picks!G6="","",Picks!G6)</f>
        <v/>
      </c>
    </row>
    <row r="7" spans="1:7" ht="13.5" thickBot="1">
      <c r="A7" s="130"/>
      <c r="B7" s="125" t="str">
        <f>IF(Picks!B7="","",Picks!B7)</f>
        <v>Grimsby</v>
      </c>
      <c r="C7" s="541">
        <f>IF(Picks!C7="","",Picks!C7)</f>
        <v>7</v>
      </c>
      <c r="D7" s="126">
        <f>IF(Picks!D7="","",Picks!D7)</f>
        <v>2.15</v>
      </c>
      <c r="E7" s="79" t="str">
        <f>IF(Picks!E7="","",Picks!E7)</f>
        <v>x</v>
      </c>
      <c r="F7" s="129" t="str">
        <f>IF(Picks!F7="","",Picks!F7)</f>
        <v/>
      </c>
      <c r="G7" s="44" t="str">
        <f>IF(Picks!G7="","",Picks!G7)</f>
        <v/>
      </c>
    </row>
    <row r="8" spans="1:7" ht="13.9" thickTop="1" thickBot="1">
      <c r="A8" s="112" t="str">
        <f>IF(Picks!A8="","",Picks!A8)</f>
        <v>Alan White</v>
      </c>
      <c r="B8" s="107" t="str">
        <f>IF(Picks!B8="","",Picks!B8)</f>
        <v>West Brom</v>
      </c>
      <c r="C8" s="540">
        <f>IF(Picks!C8="","",Picks!C8)</f>
        <v>7</v>
      </c>
      <c r="D8" s="108">
        <f>IF(Picks!D8="","",Picks!D8)</f>
        <v>1.8</v>
      </c>
      <c r="E8" s="109" t="str">
        <f>IF(Picks!E8="","",Picks!E8)</f>
        <v>x</v>
      </c>
      <c r="F8" s="110">
        <f>IF(Picks!F8="","",Picks!F8)</f>
        <v>-0.40000000000000036</v>
      </c>
      <c r="G8" s="111">
        <f>IF(Picks!G8="","",Picks!G8)</f>
        <v>13.280000000000001</v>
      </c>
    </row>
    <row r="9" spans="1:7" ht="13.15">
      <c r="A9" s="112"/>
      <c r="B9" s="59" t="str">
        <f>IF(Picks!B9="","",Picks!B9)</f>
        <v>Barnsley</v>
      </c>
      <c r="C9" s="540">
        <f>IF(Picks!C9="","",Picks!C9)</f>
        <v>7</v>
      </c>
      <c r="D9" s="44">
        <f>IF(Picks!D9="","",Picks!D9)</f>
        <v>1.85</v>
      </c>
      <c r="E9" s="79" t="str">
        <f>IF(Picks!E9="","",Picks!E9)</f>
        <v>√</v>
      </c>
      <c r="F9" s="129" t="str">
        <f>IF(Picks!F9="","",Picks!F9)</f>
        <v/>
      </c>
      <c r="G9" s="44" t="str">
        <f>IF(Picks!G9="","",Picks!G9)</f>
        <v/>
      </c>
    </row>
    <row r="10" spans="1:7" ht="13.5" thickBot="1">
      <c r="A10" s="130"/>
      <c r="B10" s="125" t="str">
        <f>IF(Picks!B10="","",Picks!B10)</f>
        <v>Swindon</v>
      </c>
      <c r="C10" s="541">
        <f>IF(Picks!C10="","",Picks!C10)</f>
        <v>7</v>
      </c>
      <c r="D10" s="126">
        <f>IF(Picks!D10="","",Picks!D10)</f>
        <v>1.6666666666666665</v>
      </c>
      <c r="E10" s="79" t="str">
        <f>IF(Picks!E10="","",Picks!E10)</f>
        <v>√</v>
      </c>
      <c r="F10" s="129" t="str">
        <f>IF(Picks!F10="","",Picks!F10)</f>
        <v/>
      </c>
      <c r="G10" s="44" t="str">
        <f>IF(Picks!G10="","",Picks!G10)</f>
        <v/>
      </c>
    </row>
    <row r="11" spans="1:7" ht="13.9" thickTop="1" thickBot="1">
      <c r="A11" s="112" t="str">
        <f>IF(Picks!A11="","",Picks!A11)</f>
        <v>Alex Griffin</v>
      </c>
      <c r="B11" s="107" t="str">
        <f>IF(Picks!B11="","",Picks!B11)</f>
        <v>Sunderland</v>
      </c>
      <c r="C11" s="540">
        <f>IF(Picks!C11="","",Picks!C11)</f>
        <v>7</v>
      </c>
      <c r="D11" s="108">
        <f>IF(Picks!D11="","",Picks!D11)</f>
        <v>5</v>
      </c>
      <c r="E11" s="109" t="str">
        <f>IF(Picks!E11="","",Picks!E11)</f>
        <v>x</v>
      </c>
      <c r="F11" s="110">
        <f>IF(Picks!F11="","",Picks!F11)</f>
        <v>-7</v>
      </c>
      <c r="G11" s="111">
        <f>IF(Picks!G11="","",Picks!G11)</f>
        <v>147.25</v>
      </c>
    </row>
    <row r="12" spans="1:7" ht="13.15">
      <c r="A12" s="112"/>
      <c r="B12" s="59" t="str">
        <f>IF(Picks!B12="","",Picks!B12)</f>
        <v>Wolves</v>
      </c>
      <c r="C12" s="540">
        <f>IF(Picks!C12="","",Picks!C12)</f>
        <v>7</v>
      </c>
      <c r="D12" s="44">
        <f>IF(Picks!D12="","",Picks!D12)</f>
        <v>6.5</v>
      </c>
      <c r="E12" s="79" t="str">
        <f>IF(Picks!E12="","",Picks!E12)</f>
        <v>x</v>
      </c>
      <c r="F12" s="129" t="str">
        <f>IF(Picks!F12="","",Picks!F12)</f>
        <v/>
      </c>
      <c r="G12" s="44" t="str">
        <f>IF(Picks!G12="","",Picks!G12)</f>
        <v/>
      </c>
    </row>
    <row r="13" spans="1:7" ht="13.5" thickBot="1">
      <c r="A13" s="130"/>
      <c r="B13" s="125" t="str">
        <f>IF(Picks!B13="","",Picks!B13)</f>
        <v>Everton</v>
      </c>
      <c r="C13" s="541">
        <f>IF(Picks!C13="","",Picks!C13)</f>
        <v>7</v>
      </c>
      <c r="D13" s="126">
        <f>IF(Picks!D13="","",Picks!D13)</f>
        <v>2.4500000000000002</v>
      </c>
      <c r="E13" s="79" t="str">
        <f>IF(Picks!E13="","",Picks!E13)</f>
        <v>x</v>
      </c>
      <c r="F13" s="129" t="str">
        <f>IF(Picks!F13="","",Picks!F13)</f>
        <v/>
      </c>
      <c r="G13" s="44" t="str">
        <f>IF(Picks!G13="","",Picks!G13)</f>
        <v/>
      </c>
    </row>
    <row r="14" spans="1:7" ht="13.9" thickTop="1" thickBot="1">
      <c r="A14" s="112" t="str">
        <f>IF(Picks!A14="","",Picks!A14)</f>
        <v>Alick Rocca</v>
      </c>
      <c r="B14" s="107" t="str">
        <f>IF(Picks!B14="","",Picks!B14)</f>
        <v>Bournemouth draw</v>
      </c>
      <c r="C14" s="540">
        <f>IF(Picks!C14="","",Picks!C14)</f>
        <v>7</v>
      </c>
      <c r="D14" s="108">
        <f>IF(Picks!D14="","",Picks!D14)</f>
        <v>3.5</v>
      </c>
      <c r="E14" s="109" t="str">
        <f>IF(Picks!E14="","",Picks!E14)</f>
        <v>x</v>
      </c>
      <c r="F14" s="110">
        <f>IF(Picks!F14="","",Picks!F14)</f>
        <v>-3.8</v>
      </c>
      <c r="G14" s="111">
        <f>IF(Picks!G14="","",Picks!G14)</f>
        <v>67.599999999999994</v>
      </c>
    </row>
    <row r="15" spans="1:7" ht="13.15">
      <c r="A15" s="112"/>
      <c r="B15" s="59" t="str">
        <f>IF(Picks!B15="","",Picks!B15)</f>
        <v>Accrington draw</v>
      </c>
      <c r="C15" s="540">
        <f>IF(Picks!C15="","",Picks!C15)</f>
        <v>7</v>
      </c>
      <c r="D15" s="44">
        <f>IF(Picks!D15="","",Picks!D15)</f>
        <v>3</v>
      </c>
      <c r="E15" s="79" t="str">
        <f>IF(Picks!E15="","",Picks!E15)</f>
        <v>x</v>
      </c>
      <c r="F15" s="129" t="str">
        <f>IF(Picks!F15="","",Picks!F15)</f>
        <v/>
      </c>
      <c r="G15" s="44" t="str">
        <f>IF(Picks!G15="","",Picks!G15)</f>
        <v/>
      </c>
    </row>
    <row r="16" spans="1:7" ht="13.5" thickBot="1">
      <c r="A16" s="130"/>
      <c r="B16" s="125" t="str">
        <f>IF(Picks!B16="","",Picks!B16)</f>
        <v>Chesterfield draw</v>
      </c>
      <c r="C16" s="541">
        <f>IF(Picks!C16="","",Picks!C16)</f>
        <v>7</v>
      </c>
      <c r="D16" s="126">
        <f>IF(Picks!D16="","",Picks!D16)</f>
        <v>3.2</v>
      </c>
      <c r="E16" s="79" t="str">
        <f>IF(Picks!E16="","",Picks!E16)</f>
        <v>√</v>
      </c>
      <c r="F16" s="129" t="str">
        <f>IF(Picks!F16="","",Picks!F16)</f>
        <v/>
      </c>
      <c r="G16" s="44" t="str">
        <f>IF(Picks!G16="","",Picks!G16)</f>
        <v/>
      </c>
    </row>
    <row r="17" spans="1:7" ht="13.9" thickTop="1" thickBot="1">
      <c r="A17" s="112" t="str">
        <f>IF(Picks!A17="","",Picks!A17)</f>
        <v>Andy White</v>
      </c>
      <c r="B17" s="107" t="str">
        <f>IF(Picks!B17="","",Picks!B17)</f>
        <v>Bournemouth</v>
      </c>
      <c r="C17" s="540">
        <f>IF(Picks!C17="","",Picks!C17)</f>
        <v>7</v>
      </c>
      <c r="D17" s="108">
        <f>IF(Picks!D17="","",Picks!D17)</f>
        <v>2.4</v>
      </c>
      <c r="E17" s="109" t="str">
        <f>IF(Picks!E17="","",Picks!E17)</f>
        <v>√</v>
      </c>
      <c r="F17" s="110">
        <f>IF(Picks!F17="","",Picks!F17)</f>
        <v>23.156363636363636</v>
      </c>
      <c r="G17" s="111">
        <f>IF(Picks!G17="","",Picks!G17)</f>
        <v>23.156363636363636</v>
      </c>
    </row>
    <row r="18" spans="1:7" ht="13.15">
      <c r="A18" s="112"/>
      <c r="B18" s="59" t="str">
        <f>IF(Picks!B18="","",Picks!B18)</f>
        <v>Fulham</v>
      </c>
      <c r="C18" s="540">
        <f>IF(Picks!C18="","",Picks!C18)</f>
        <v>7</v>
      </c>
      <c r="D18" s="44">
        <f>IF(Picks!D18="","",Picks!D18)</f>
        <v>1.9090909090909092</v>
      </c>
      <c r="E18" s="79" t="str">
        <f>IF(Picks!E18="","",Picks!E18)</f>
        <v>√</v>
      </c>
      <c r="F18" s="129" t="str">
        <f>IF(Picks!F18="","",Picks!F18)</f>
        <v/>
      </c>
      <c r="G18" s="44" t="str">
        <f>IF(Picks!G18="","",Picks!G18)</f>
        <v/>
      </c>
    </row>
    <row r="19" spans="1:7" ht="13.5" thickBot="1">
      <c r="A19" s="130"/>
      <c r="B19" s="125" t="str">
        <f>IF(Picks!B19="","",Picks!B19)</f>
        <v>Spurs</v>
      </c>
      <c r="C19" s="541">
        <f>IF(Picks!C19="","",Picks!C19)</f>
        <v>7</v>
      </c>
      <c r="D19" s="126">
        <f>IF(Picks!D19="","",Picks!D19)</f>
        <v>2.15</v>
      </c>
      <c r="E19" s="79" t="str">
        <f>IF(Picks!E19="","",Picks!E19)</f>
        <v>√</v>
      </c>
      <c r="F19" s="129" t="str">
        <f>IF(Picks!F19="","",Picks!F19)</f>
        <v/>
      </c>
      <c r="G19" s="44" t="str">
        <f>IF(Picks!G19="","",Picks!G19)</f>
        <v/>
      </c>
    </row>
    <row r="20" spans="1:7" ht="13.9" thickTop="1" thickBot="1">
      <c r="A20" s="112" t="str">
        <f>IF(Picks!A20="","",Picks!A20)</f>
        <v>Barry Birchall</v>
      </c>
      <c r="B20" s="107" t="str">
        <f>IF(Picks!B20="","",Picks!B20)</f>
        <v>Newcastle</v>
      </c>
      <c r="C20" s="540">
        <f>IF(Picks!C20="","",Picks!C20)</f>
        <v>7</v>
      </c>
      <c r="D20" s="108">
        <f>IF(Picks!D20="","",Picks!D20)</f>
        <v>1.4444444444444444</v>
      </c>
      <c r="E20" s="109" t="str">
        <f>IF(Picks!E20="","",Picks!E20)</f>
        <v>√</v>
      </c>
      <c r="F20" s="110">
        <f>IF(Picks!F20="","",Picks!F20)</f>
        <v>-1.4814814814814827</v>
      </c>
      <c r="G20" s="111">
        <f>IF(Picks!G20="","",Picks!G20)</f>
        <v>14.81481481481481</v>
      </c>
    </row>
    <row r="21" spans="1:7" ht="13.15">
      <c r="A21" s="112"/>
      <c r="B21" s="59" t="str">
        <f>IF(Picks!B21="","",Picks!B21)</f>
        <v>Crewe</v>
      </c>
      <c r="C21" s="540">
        <f>IF(Picks!C21="","",Picks!C21)</f>
        <v>7</v>
      </c>
      <c r="D21" s="44">
        <f>IF(Picks!D21="","",Picks!D21)</f>
        <v>2.5</v>
      </c>
      <c r="E21" s="79" t="str">
        <f>IF(Picks!E21="","",Picks!E21)</f>
        <v>x</v>
      </c>
      <c r="F21" s="129" t="str">
        <f>IF(Picks!F21="","",Picks!F21)</f>
        <v/>
      </c>
      <c r="G21" s="44" t="str">
        <f>IF(Picks!G21="","",Picks!G21)</f>
        <v/>
      </c>
    </row>
    <row r="22" spans="1:7" ht="13.5" thickBot="1">
      <c r="A22" s="130"/>
      <c r="B22" s="125" t="str">
        <f>IF(Picks!B22="","",Picks!B22)</f>
        <v>Swindon</v>
      </c>
      <c r="C22" s="541">
        <f>IF(Picks!C22="","",Picks!C22)</f>
        <v>7</v>
      </c>
      <c r="D22" s="126">
        <f>IF(Picks!D22="","",Picks!D22)</f>
        <v>1.6666666666666665</v>
      </c>
      <c r="E22" s="79" t="str">
        <f>IF(Picks!E22="","",Picks!E22)</f>
        <v>√</v>
      </c>
      <c r="F22" s="129" t="str">
        <f>IF(Picks!F22="","",Picks!F22)</f>
        <v/>
      </c>
      <c r="G22" s="44" t="str">
        <f>IF(Picks!G22="","",Picks!G22)</f>
        <v/>
      </c>
    </row>
    <row r="23" spans="1:7" ht="13.9" thickTop="1" thickBot="1">
      <c r="A23" s="112" t="str">
        <f>IF(Picks!A23="","",Picks!A23)</f>
        <v>Ben Rosser</v>
      </c>
      <c r="B23" s="107" t="str">
        <f>IF(Picks!B23="","",Picks!B23)</f>
        <v>Everton draw</v>
      </c>
      <c r="C23" s="540">
        <f>IF(Picks!C23="","",Picks!C23)</f>
        <v>7</v>
      </c>
      <c r="D23" s="108">
        <f>IF(Picks!D23="","",Picks!D23)</f>
        <v>3.2</v>
      </c>
      <c r="E23" s="109" t="str">
        <f>IF(Picks!E23="","",Picks!E23)</f>
        <v>√</v>
      </c>
      <c r="F23" s="110">
        <f>IF(Picks!F23="","",Picks!F23)</f>
        <v>4.2181818181818187</v>
      </c>
      <c r="G23" s="111">
        <f>IF(Picks!G23="","",Picks!G23)</f>
        <v>60.421818181818182</v>
      </c>
    </row>
    <row r="24" spans="1:7" ht="13.15">
      <c r="A24" s="112"/>
      <c r="B24" s="59" t="str">
        <f>IF(Picks!B24="","",Picks!B24)</f>
        <v>Fulham</v>
      </c>
      <c r="C24" s="540">
        <f>IF(Picks!C24="","",Picks!C24)</f>
        <v>7</v>
      </c>
      <c r="D24" s="44">
        <f>IF(Picks!D24="","",Picks!D24)</f>
        <v>1.9090909090909092</v>
      </c>
      <c r="E24" s="79" t="str">
        <f>IF(Picks!E24="","",Picks!E24)</f>
        <v>√</v>
      </c>
      <c r="F24" s="129" t="str">
        <f>IF(Picks!F24="","",Picks!F24)</f>
        <v/>
      </c>
      <c r="G24" s="44" t="str">
        <f>IF(Picks!G24="","",Picks!G24)</f>
        <v/>
      </c>
    </row>
    <row r="25" spans="1:7" ht="13.5" thickBot="1">
      <c r="A25" s="130"/>
      <c r="B25" s="125" t="str">
        <f>IF(Picks!B25="","",Picks!B25)</f>
        <v>Man U</v>
      </c>
      <c r="C25" s="541">
        <f>IF(Picks!C25="","",Picks!C25)</f>
        <v>1</v>
      </c>
      <c r="D25" s="126">
        <f>IF(Picks!D25="","",Picks!D25)</f>
        <v>4.5999999999999996</v>
      </c>
      <c r="E25" s="79" t="str">
        <f>IF(Picks!E25="","",Picks!E25)</f>
        <v>x</v>
      </c>
      <c r="F25" s="129" t="str">
        <f>IF(Picks!F25="","",Picks!F25)</f>
        <v/>
      </c>
      <c r="G25" s="44" t="str">
        <f>IF(Picks!G25="","",Picks!G25)</f>
        <v/>
      </c>
    </row>
    <row r="26" spans="1:7" ht="13.9" thickTop="1" thickBot="1">
      <c r="A26" s="112" t="str">
        <f>IF(Picks!A26="","",Picks!A26)</f>
        <v>Bob Bailey</v>
      </c>
      <c r="B26" s="107" t="str">
        <f>IF(Picks!B26="","",Picks!B26)</f>
        <v>Fulham</v>
      </c>
      <c r="C26" s="540">
        <f>IF(Picks!C26="","",Picks!C26)</f>
        <v>7</v>
      </c>
      <c r="D26" s="108">
        <f>IF(Picks!D26="","",Picks!D26)</f>
        <v>1.9090909090909092</v>
      </c>
      <c r="E26" s="109" t="str">
        <f>IF(Picks!E26="","",Picks!E26)</f>
        <v>√</v>
      </c>
      <c r="F26" s="110">
        <f>IF(Picks!F26="","",Picks!F26)</f>
        <v>1.0181818181818194</v>
      </c>
      <c r="G26" s="111">
        <f>IF(Picks!G26="","",Picks!G26)</f>
        <v>15.586013986013988</v>
      </c>
    </row>
    <row r="27" spans="1:7" ht="13.15">
      <c r="A27" s="112"/>
      <c r="B27" s="59" t="str">
        <f>IF(Picks!B27="","",Picks!B27)</f>
        <v>Palace</v>
      </c>
      <c r="C27" s="540">
        <f>IF(Picks!C27="","",Picks!C27)</f>
        <v>7</v>
      </c>
      <c r="D27" s="44">
        <f>IF(Picks!D27="","",Picks!D27)</f>
        <v>1.6153846153846154</v>
      </c>
      <c r="E27" s="79" t="str">
        <f>IF(Picks!E27="","",Picks!E27)</f>
        <v>x</v>
      </c>
      <c r="F27" s="129" t="str">
        <f>IF(Picks!F27="","",Picks!F27)</f>
        <v/>
      </c>
      <c r="G27" s="44" t="str">
        <f>IF(Picks!G27="","",Picks!G27)</f>
        <v/>
      </c>
    </row>
    <row r="28" spans="1:7" ht="13.5" thickBot="1">
      <c r="A28" s="130"/>
      <c r="B28" s="125" t="str">
        <f>IF(Picks!B28="","",Picks!B28)</f>
        <v>Bristol C</v>
      </c>
      <c r="C28" s="541">
        <f>IF(Picks!C28="","",Picks!C28)</f>
        <v>7</v>
      </c>
      <c r="D28" s="126">
        <f>IF(Picks!D28="","",Picks!D28)</f>
        <v>2.1</v>
      </c>
      <c r="E28" s="79" t="str">
        <f>IF(Picks!E28="","",Picks!E28)</f>
        <v>√</v>
      </c>
      <c r="F28" s="129" t="str">
        <f>IF(Picks!F28="","",Picks!F28)</f>
        <v/>
      </c>
      <c r="G28" s="44" t="str">
        <f>IF(Picks!G28="","",Picks!G28)</f>
        <v/>
      </c>
    </row>
    <row r="29" spans="1:7" ht="13.9" thickTop="1" thickBot="1">
      <c r="A29" s="112" t="str">
        <f>IF(Picks!A29="","",Picks!A29)</f>
        <v>Charlie Griffiths</v>
      </c>
      <c r="B29" s="107" t="str">
        <f>IF(Picks!B29="","",Picks!B29)</f>
        <v>Salford</v>
      </c>
      <c r="C29" s="540">
        <f>IF(Picks!C29="","",Picks!C29)</f>
        <v>7</v>
      </c>
      <c r="D29" s="108">
        <f>IF(Picks!D29="","",Picks!D29)</f>
        <v>2.5</v>
      </c>
      <c r="E29" s="109" t="str">
        <f>IF(Picks!E29="","",Picks!E29)</f>
        <v>√</v>
      </c>
      <c r="F29" s="110">
        <f>IF(Picks!F29="","",Picks!F29)</f>
        <v>7.0500000000000007</v>
      </c>
      <c r="G29" s="111">
        <f>IF(Picks!G29="","",Picks!G29)</f>
        <v>44.674999999999997</v>
      </c>
    </row>
    <row r="30" spans="1:7" ht="13.15">
      <c r="A30" s="112"/>
      <c r="B30" s="59" t="str">
        <f>IF(Picks!B30="","",Picks!B30)</f>
        <v>Walsall</v>
      </c>
      <c r="C30" s="540">
        <f>IF(Picks!C30="","",Picks!C30)</f>
        <v>7</v>
      </c>
      <c r="D30" s="44">
        <f>IF(Picks!D30="","",Picks!D30)</f>
        <v>2.5</v>
      </c>
      <c r="E30" s="79" t="str">
        <f>IF(Picks!E30="","",Picks!E30)</f>
        <v>x</v>
      </c>
      <c r="F30" s="129" t="str">
        <f>IF(Picks!F30="","",Picks!F30)</f>
        <v/>
      </c>
      <c r="G30" s="44" t="str">
        <f>IF(Picks!G30="","",Picks!G30)</f>
        <v/>
      </c>
    </row>
    <row r="31" spans="1:7" ht="13.5" thickBot="1">
      <c r="A31" s="130"/>
      <c r="B31" s="125" t="str">
        <f>IF(Picks!B31="","",Picks!B31)</f>
        <v>Orient draw</v>
      </c>
      <c r="C31" s="541">
        <f>IF(Picks!C31="","",Picks!C31)</f>
        <v>7</v>
      </c>
      <c r="D31" s="126">
        <f>IF(Picks!D31="","",Picks!D31)</f>
        <v>3.3</v>
      </c>
      <c r="E31" s="79" t="str">
        <f>IF(Picks!E31="","",Picks!E31)</f>
        <v>√</v>
      </c>
      <c r="F31" s="129" t="str">
        <f>IF(Picks!F31="","",Picks!F31)</f>
        <v/>
      </c>
      <c r="G31" s="44" t="str">
        <f>IF(Picks!G31="","",Picks!G31)</f>
        <v/>
      </c>
    </row>
    <row r="32" spans="1:7" ht="13.9" thickTop="1" thickBot="1">
      <c r="A32" s="112" t="str">
        <f>IF(Picks!A32="","",Picks!A32)</f>
        <v>Chris Bow</v>
      </c>
      <c r="B32" s="107" t="str">
        <f>IF(Picks!B32="","",Picks!B32)</f>
        <v>Bournemouth</v>
      </c>
      <c r="C32" s="540">
        <f>IF(Picks!C32="","",Picks!C32)</f>
        <v>7</v>
      </c>
      <c r="D32" s="108">
        <f>IF(Picks!D32="","",Picks!D32)</f>
        <v>2.4</v>
      </c>
      <c r="E32" s="109" t="str">
        <f>IF(Picks!E32="","",Picks!E32)</f>
        <v>√</v>
      </c>
      <c r="F32" s="110">
        <f>IF(Picks!F32="","",Picks!F32)</f>
        <v>24.64</v>
      </c>
      <c r="G32" s="111">
        <f>IF(Picks!G32="","",Picks!G32)</f>
        <v>24.64</v>
      </c>
    </row>
    <row r="33" spans="1:7" ht="13.15">
      <c r="A33" s="112"/>
      <c r="B33" s="59" t="str">
        <f>IF(Picks!B33="","",Picks!B33)</f>
        <v>Fulham</v>
      </c>
      <c r="C33" s="540">
        <f>IF(Picks!C33="","",Picks!C33)</f>
        <v>7</v>
      </c>
      <c r="D33" s="44">
        <f>IF(Picks!D33="","",Picks!D33)</f>
        <v>1.9090909090909092</v>
      </c>
      <c r="E33" s="79" t="str">
        <f>IF(Picks!E33="","",Picks!E33)</f>
        <v>√</v>
      </c>
      <c r="F33" s="129" t="str">
        <f>IF(Picks!F33="","",Picks!F33)</f>
        <v/>
      </c>
      <c r="G33" s="44" t="str">
        <f>IF(Picks!G33="","",Picks!G33)</f>
        <v/>
      </c>
    </row>
    <row r="34" spans="1:7" ht="13.5" thickBot="1">
      <c r="A34" s="130"/>
      <c r="B34" s="125" t="str">
        <f>IF(Picks!B34="","",Picks!B34)</f>
        <v>Gillingham</v>
      </c>
      <c r="C34" s="541">
        <f>IF(Picks!C34="","",Picks!C34)</f>
        <v>7</v>
      </c>
      <c r="D34" s="126">
        <f>IF(Picks!D34="","",Picks!D34)</f>
        <v>2.2999999999999998</v>
      </c>
      <c r="E34" s="79" t="str">
        <f>IF(Picks!E34="","",Picks!E34)</f>
        <v>√</v>
      </c>
      <c r="F34" s="129" t="str">
        <f>IF(Picks!F34="","",Picks!F34)</f>
        <v/>
      </c>
      <c r="G34" s="44" t="str">
        <f>IF(Picks!G34="","",Picks!G34)</f>
        <v/>
      </c>
    </row>
    <row r="35" spans="1:7" ht="13.9" thickTop="1" thickBot="1">
      <c r="A35" s="112" t="str">
        <f>IF(Picks!A35="","",Picks!A35)</f>
        <v>Chris Griffin</v>
      </c>
      <c r="B35" s="107" t="str">
        <f>IF(Picks!B35="","",Picks!B35)</f>
        <v>Everton draw</v>
      </c>
      <c r="C35" s="540">
        <f>IF(Picks!C35="","",Picks!C35)</f>
        <v>7</v>
      </c>
      <c r="D35" s="108">
        <f>IF(Picks!D35="","",Picks!D35)</f>
        <v>3.2</v>
      </c>
      <c r="E35" s="109" t="str">
        <f>IF(Picks!E35="","",Picks!E35)</f>
        <v>√</v>
      </c>
      <c r="F35" s="110">
        <f>IF(Picks!F35="","",Picks!F35)</f>
        <v>2.2666666666666675</v>
      </c>
      <c r="G35" s="111">
        <f>IF(Picks!G35="","",Picks!G35)</f>
        <v>27.42</v>
      </c>
    </row>
    <row r="36" spans="1:7" ht="13.15">
      <c r="A36" s="112"/>
      <c r="B36" s="59" t="str">
        <f>IF(Picks!B36="","",Picks!B36)</f>
        <v>Newcastle</v>
      </c>
      <c r="C36" s="540">
        <f>IF(Picks!C36="","",Picks!C36)</f>
        <v>7</v>
      </c>
      <c r="D36" s="44">
        <f>IF(Picks!D36="","",Picks!D36)</f>
        <v>1.4444444444444444</v>
      </c>
      <c r="E36" s="79" t="str">
        <f>IF(Picks!E36="","",Picks!E36)</f>
        <v>√</v>
      </c>
      <c r="F36" s="129" t="str">
        <f>IF(Picks!F36="","",Picks!F36)</f>
        <v/>
      </c>
      <c r="G36" s="44" t="str">
        <f>IF(Picks!G36="","",Picks!G36)</f>
        <v/>
      </c>
    </row>
    <row r="37" spans="1:7" ht="13.5" thickBot="1">
      <c r="A37" s="130"/>
      <c r="B37" s="125" t="str">
        <f>IF(Picks!B37="","",Picks!B37)</f>
        <v>Middlesbro</v>
      </c>
      <c r="C37" s="541">
        <f>IF(Picks!C37="","",Picks!C37)</f>
        <v>7</v>
      </c>
      <c r="D37" s="126">
        <f>IF(Picks!D37="","",Picks!D37)</f>
        <v>2.4500000000000002</v>
      </c>
      <c r="E37" s="79" t="str">
        <f>IF(Picks!E37="","",Picks!E37)</f>
        <v>x</v>
      </c>
      <c r="F37" s="129" t="str">
        <f>IF(Picks!F37="","",Picks!F37)</f>
        <v/>
      </c>
      <c r="G37" s="44" t="str">
        <f>IF(Picks!G37="","",Picks!G37)</f>
        <v/>
      </c>
    </row>
    <row r="38" spans="1:7" ht="13.9" thickTop="1" thickBot="1">
      <c r="A38" s="112" t="str">
        <f>IF(Picks!A38="","",Picks!A38)</f>
        <v>Chris Luck</v>
      </c>
      <c r="B38" s="107" t="str">
        <f>IF(Picks!B38="","",Picks!B38)</f>
        <v>Everton</v>
      </c>
      <c r="C38" s="540">
        <f>IF(Picks!C38="","",Picks!C38)</f>
        <v>7</v>
      </c>
      <c r="D38" s="108">
        <f>IF(Picks!D38="","",Picks!D38)</f>
        <v>2.4500000000000002</v>
      </c>
      <c r="E38" s="109" t="str">
        <f>IF(Picks!E38="","",Picks!E38)</f>
        <v>x</v>
      </c>
      <c r="F38" s="110">
        <f>IF(Picks!F38="","",Picks!F38)</f>
        <v>-4.8499999999999996</v>
      </c>
      <c r="G38" s="111">
        <f>IF(Picks!G38="","",Picks!G38)</f>
        <v>27.862750000000005</v>
      </c>
    </row>
    <row r="39" spans="1:7" ht="13.15">
      <c r="A39" s="112"/>
      <c r="B39" s="59" t="str">
        <f>IF(Picks!B39="","",Picks!B39)</f>
        <v>Spurs</v>
      </c>
      <c r="C39" s="540">
        <f>IF(Picks!C39="","",Picks!C39)</f>
        <v>7</v>
      </c>
      <c r="D39" s="44">
        <f>IF(Picks!D39="","",Picks!D39)</f>
        <v>2.15</v>
      </c>
      <c r="E39" s="79" t="str">
        <f>IF(Picks!E39="","",Picks!E39)</f>
        <v>√</v>
      </c>
      <c r="F39" s="129" t="str">
        <f>IF(Picks!F39="","",Picks!F39)</f>
        <v/>
      </c>
      <c r="G39" s="44" t="str">
        <f>IF(Picks!G39="","",Picks!G39)</f>
        <v/>
      </c>
    </row>
    <row r="40" spans="1:7" ht="13.5" thickBot="1">
      <c r="A40" s="130"/>
      <c r="B40" s="125" t="str">
        <f>IF(Picks!B40="","",Picks!B40)</f>
        <v>Charlton</v>
      </c>
      <c r="C40" s="541">
        <f>IF(Picks!C40="","",Picks!C40)</f>
        <v>7</v>
      </c>
      <c r="D40" s="126">
        <f>IF(Picks!D40="","",Picks!D40)</f>
        <v>2.2999999999999998</v>
      </c>
      <c r="E40" s="79" t="str">
        <f>IF(Picks!E40="","",Picks!E40)</f>
        <v>x</v>
      </c>
      <c r="F40" s="129" t="str">
        <f>IF(Picks!F40="","",Picks!F40)</f>
        <v/>
      </c>
      <c r="G40" s="44" t="str">
        <f>IF(Picks!G40="","",Picks!G40)</f>
        <v/>
      </c>
    </row>
    <row r="41" spans="1:7" ht="13.9" thickTop="1" thickBot="1">
      <c r="A41" s="112" t="str">
        <f>IF(Picks!A41="","",Picks!A41)</f>
        <v>Dan Gibbard</v>
      </c>
      <c r="B41" s="107" t="str">
        <f>IF(Picks!B41="","",Picks!B41)</f>
        <v>West Brom</v>
      </c>
      <c r="C41" s="540">
        <f>IF(Picks!C41="","",Picks!C41)</f>
        <v>7</v>
      </c>
      <c r="D41" s="108">
        <f>IF(Picks!D41="","",Picks!D41)</f>
        <v>1.8</v>
      </c>
      <c r="E41" s="109" t="str">
        <f>IF(Picks!E41="","",Picks!E41)</f>
        <v>x</v>
      </c>
      <c r="F41" s="110">
        <f>IF(Picks!F41="","",Picks!F41)</f>
        <v>15.5</v>
      </c>
      <c r="G41" s="111">
        <f>IF(Picks!G41="","",Picks!G41)</f>
        <v>57.8</v>
      </c>
    </row>
    <row r="42" spans="1:7" ht="13.15">
      <c r="A42" s="112"/>
      <c r="B42" s="59" t="str">
        <f>IF(Picks!B42="","",Picks!B42)</f>
        <v>QPR</v>
      </c>
      <c r="C42" s="540">
        <f>IF(Picks!C42="","",Picks!C42)</f>
        <v>7</v>
      </c>
      <c r="D42" s="44">
        <f>IF(Picks!D42="","",Picks!D42)</f>
        <v>4</v>
      </c>
      <c r="E42" s="79" t="str">
        <f>IF(Picks!E42="","",Picks!E42)</f>
        <v>√</v>
      </c>
      <c r="F42" s="129" t="str">
        <f>IF(Picks!F42="","",Picks!F42)</f>
        <v/>
      </c>
      <c r="G42" s="44" t="str">
        <f>IF(Picks!G42="","",Picks!G42)</f>
        <v/>
      </c>
    </row>
    <row r="43" spans="1:7" ht="13.5" thickBot="1">
      <c r="A43" s="130"/>
      <c r="B43" s="125" t="str">
        <f>IF(Picks!B43="","",Picks!B43)</f>
        <v>Southampton draw</v>
      </c>
      <c r="C43" s="541">
        <f>IF(Picks!C43="","",Picks!C43)</f>
        <v>1</v>
      </c>
      <c r="D43" s="126">
        <f>IF(Picks!D43="","",Picks!D43)</f>
        <v>3.7</v>
      </c>
      <c r="E43" s="79" t="str">
        <f>IF(Picks!E43="","",Picks!E43)</f>
        <v>√</v>
      </c>
      <c r="F43" s="129" t="str">
        <f>IF(Picks!F43="","",Picks!F43)</f>
        <v/>
      </c>
      <c r="G43" s="44" t="str">
        <f>IF(Picks!G43="","",Picks!G43)</f>
        <v/>
      </c>
    </row>
    <row r="44" spans="1:7" ht="13.9" thickTop="1" thickBot="1">
      <c r="A44" s="112" t="str">
        <f>IF(Picks!A44="","",Picks!A44)</f>
        <v>Dave Bell</v>
      </c>
      <c r="B44" s="107" t="str">
        <f>IF(Picks!B44="","",Picks!B44)</f>
        <v>Forest</v>
      </c>
      <c r="C44" s="540">
        <f>IF(Picks!C44="","",Picks!C44)</f>
        <v>7</v>
      </c>
      <c r="D44" s="108">
        <f>IF(Picks!D44="","",Picks!D44)</f>
        <v>7.5</v>
      </c>
      <c r="E44" s="109" t="str">
        <f>IF(Picks!E44="","",Picks!E44)</f>
        <v>x</v>
      </c>
      <c r="F44" s="110">
        <f>IF(Picks!F44="","",Picks!F44)</f>
        <v>-7</v>
      </c>
      <c r="G44" s="111">
        <f>IF(Picks!G44="","",Picks!G44)</f>
        <v>374.5</v>
      </c>
    </row>
    <row r="45" spans="1:7" ht="13.15">
      <c r="A45" s="112"/>
      <c r="B45" s="59" t="str">
        <f>IF(Picks!B45="","",Picks!B45)</f>
        <v>Wolves</v>
      </c>
      <c r="C45" s="540">
        <f>IF(Picks!C45="","",Picks!C45)</f>
        <v>7</v>
      </c>
      <c r="D45" s="44">
        <f>IF(Picks!D45="","",Picks!D45)</f>
        <v>6.5</v>
      </c>
      <c r="E45" s="79" t="str">
        <f>IF(Picks!E45="","",Picks!E45)</f>
        <v>x</v>
      </c>
      <c r="F45" s="129" t="str">
        <f>IF(Picks!F45="","",Picks!F45)</f>
        <v/>
      </c>
      <c r="G45" s="44" t="str">
        <f>IF(Picks!G45="","",Picks!G45)</f>
        <v/>
      </c>
    </row>
    <row r="46" spans="1:7" ht="13.5" thickBot="1">
      <c r="A46" s="130"/>
      <c r="B46" s="125" t="str">
        <f>IF(Picks!B46="","",Picks!B46)</f>
        <v>Sunderland</v>
      </c>
      <c r="C46" s="541">
        <f>IF(Picks!C46="","",Picks!C46)</f>
        <v>7</v>
      </c>
      <c r="D46" s="126">
        <f>IF(Picks!D46="","",Picks!D46)</f>
        <v>5</v>
      </c>
      <c r="E46" s="79" t="str">
        <f>IF(Picks!E46="","",Picks!E46)</f>
        <v>x</v>
      </c>
      <c r="F46" s="129" t="str">
        <f>IF(Picks!F46="","",Picks!F46)</f>
        <v/>
      </c>
      <c r="G46" s="44" t="str">
        <f>IF(Picks!G46="","",Picks!G46)</f>
        <v/>
      </c>
    </row>
    <row r="47" spans="1:7" ht="13.9" thickTop="1" thickBot="1">
      <c r="A47" s="112" t="str">
        <f>IF(Picks!A47="","",Picks!A47)</f>
        <v>David Dunn</v>
      </c>
      <c r="B47" s="107" t="str">
        <f>IF(Picks!B47="","",Picks!B47)</f>
        <v>Chelsea</v>
      </c>
      <c r="C47" s="540">
        <f>IF(Picks!C47="","",Picks!C47)</f>
        <v>7</v>
      </c>
      <c r="D47" s="108">
        <f>IF(Picks!D47="","",Picks!D47)</f>
        <v>1.75</v>
      </c>
      <c r="E47" s="109" t="str">
        <f>IF(Picks!E47="","",Picks!E47)</f>
        <v>x</v>
      </c>
      <c r="F47" s="110">
        <f>IF(Picks!F47="","",Picks!F47)</f>
        <v>-4.8499999999999996</v>
      </c>
      <c r="G47" s="111">
        <f>IF(Picks!G47="","",Picks!G47)</f>
        <v>34.446249999999999</v>
      </c>
    </row>
    <row r="48" spans="1:7" ht="13.15">
      <c r="A48" s="131"/>
      <c r="B48" s="59" t="str">
        <f>IF(Picks!B48="","",Picks!B48)</f>
        <v>Leeds</v>
      </c>
      <c r="C48" s="540">
        <f>IF(Picks!C48="","",Picks!C48)</f>
        <v>7</v>
      </c>
      <c r="D48" s="44">
        <f>IF(Picks!D48="","",Picks!D48)</f>
        <v>3.9</v>
      </c>
      <c r="E48" s="79" t="str">
        <f>IF(Picks!E48="","",Picks!E48)</f>
        <v>x</v>
      </c>
      <c r="F48" s="129" t="str">
        <f>IF(Picks!F48="","",Picks!F48)</f>
        <v/>
      </c>
      <c r="G48" s="44" t="str">
        <f>IF(Picks!G48="","",Picks!G48)</f>
        <v/>
      </c>
    </row>
    <row r="49" spans="1:7" ht="13.5" thickBot="1">
      <c r="A49" s="130"/>
      <c r="B49" s="125" t="str">
        <f>IF(Picks!B49="","",Picks!B49)</f>
        <v>Spurs</v>
      </c>
      <c r="C49" s="541">
        <f>IF(Picks!C49="","",Picks!C49)</f>
        <v>7</v>
      </c>
      <c r="D49" s="126">
        <f>IF(Picks!D49="","",Picks!D49)</f>
        <v>2.15</v>
      </c>
      <c r="E49" s="79" t="str">
        <f>IF(Picks!E49="","",Picks!E49)</f>
        <v>√</v>
      </c>
      <c r="F49" s="129" t="str">
        <f>IF(Picks!F49="","",Picks!F49)</f>
        <v/>
      </c>
      <c r="G49" s="44" t="str">
        <f>IF(Picks!G49="","",Picks!G49)</f>
        <v/>
      </c>
    </row>
    <row r="50" spans="1:7" ht="13.9" thickTop="1" thickBot="1">
      <c r="A50" s="112" t="str">
        <f>IF(Picks!A50="","",Picks!A50)</f>
        <v>Frank Allen</v>
      </c>
      <c r="B50" s="107" t="str">
        <f>IF(Picks!B50="","",Picks!B50)</f>
        <v>Coventry</v>
      </c>
      <c r="C50" s="540">
        <f>IF(Picks!C50="","",Picks!C50)</f>
        <v>7</v>
      </c>
      <c r="D50" s="108">
        <f>IF(Picks!D50="","",Picks!D50)</f>
        <v>1.7272727272727273</v>
      </c>
      <c r="E50" s="109" t="str">
        <f>IF(Picks!E50="","",Picks!E50)</f>
        <v>x</v>
      </c>
      <c r="F50" s="110">
        <f>IF(Picks!F50="","",Picks!F50)</f>
        <v>3.4000000000000004</v>
      </c>
      <c r="G50" s="111">
        <f>IF(Picks!G50="","",Picks!G50)</f>
        <v>23.090909090909093</v>
      </c>
    </row>
    <row r="51" spans="1:7" ht="13.15">
      <c r="A51" s="112"/>
      <c r="B51" s="59" t="str">
        <f>IF(Picks!B51="","",Picks!B51)</f>
        <v>Stoke</v>
      </c>
      <c r="C51" s="540">
        <f>IF(Picks!C51="","",Picks!C51)</f>
        <v>7</v>
      </c>
      <c r="D51" s="44">
        <f>IF(Picks!D51="","",Picks!D51)</f>
        <v>3</v>
      </c>
      <c r="E51" s="79" t="str">
        <f>IF(Picks!E51="","",Picks!E51)</f>
        <v>√</v>
      </c>
      <c r="F51" s="129" t="str">
        <f>IF(Picks!F51="","",Picks!F51)</f>
        <v/>
      </c>
      <c r="G51" s="44" t="str">
        <f>IF(Picks!G51="","",Picks!G51)</f>
        <v/>
      </c>
    </row>
    <row r="52" spans="1:7" ht="13.5" thickBot="1">
      <c r="A52" s="130"/>
      <c r="B52" s="125" t="str">
        <f>IF(Picks!B52="","",Picks!B52)</f>
        <v>Barnsley</v>
      </c>
      <c r="C52" s="541">
        <f>IF(Picks!C52="","",Picks!C52)</f>
        <v>7</v>
      </c>
      <c r="D52" s="126">
        <f>IF(Picks!D52="","",Picks!D52)</f>
        <v>1.85</v>
      </c>
      <c r="E52" s="79" t="str">
        <f>IF(Picks!E52="","",Picks!E52)</f>
        <v>√</v>
      </c>
      <c r="F52" s="129" t="str">
        <f>IF(Picks!F52="","",Picks!F52)</f>
        <v/>
      </c>
      <c r="G52" s="44" t="str">
        <f>IF(Picks!G52="","",Picks!G52)</f>
        <v/>
      </c>
    </row>
    <row r="53" spans="1:7" ht="13.9" thickTop="1" thickBot="1">
      <c r="A53" s="112" t="str">
        <f>IF(Picks!A53="","",Picks!A53)</f>
        <v>Gareth Powell</v>
      </c>
      <c r="B53" s="107" t="str">
        <f>IF(Picks!B53="","",Picks!B53)</f>
        <v>Everton</v>
      </c>
      <c r="C53" s="540">
        <f>IF(Picks!C53="","",Picks!C53)</f>
        <v>7</v>
      </c>
      <c r="D53" s="108">
        <f>IF(Picks!D53="","",Picks!D53)</f>
        <v>2.4500000000000002</v>
      </c>
      <c r="E53" s="109" t="str">
        <f>IF(Picks!E53="","",Picks!E53)</f>
        <v>x</v>
      </c>
      <c r="F53" s="110">
        <f>IF(Picks!F53="","",Picks!F53)</f>
        <v>-4.8499999999999996</v>
      </c>
      <c r="G53" s="111">
        <f>IF(Picks!G53="","",Picks!G53)</f>
        <v>30.036249999999995</v>
      </c>
    </row>
    <row r="54" spans="1:7" ht="13.15">
      <c r="A54" s="112"/>
      <c r="B54" s="59" t="str">
        <f>IF(Picks!B54="","",Picks!B54)</f>
        <v>Spurs</v>
      </c>
      <c r="C54" s="540">
        <f>IF(Picks!C54="","",Picks!C54)</f>
        <v>7</v>
      </c>
      <c r="D54" s="44">
        <f>IF(Picks!D54="","",Picks!D54)</f>
        <v>2.15</v>
      </c>
      <c r="E54" s="79" t="str">
        <f>IF(Picks!E54="","",Picks!E54)</f>
        <v>√</v>
      </c>
      <c r="F54" s="129" t="str">
        <f>IF(Picks!F54="","",Picks!F54)</f>
        <v/>
      </c>
      <c r="G54" s="44" t="str">
        <f>IF(Picks!G54="","",Picks!G54)</f>
        <v/>
      </c>
    </row>
    <row r="55" spans="1:7" ht="13.5" thickBot="1">
      <c r="A55" s="130"/>
      <c r="B55" s="125" t="str">
        <f>IF(Picks!B55="","",Picks!B55)</f>
        <v>Cardiff</v>
      </c>
      <c r="C55" s="541">
        <f>IF(Picks!C55="","",Picks!C55)</f>
        <v>7</v>
      </c>
      <c r="D55" s="126">
        <f>IF(Picks!D55="","",Picks!D55)</f>
        <v>2.5</v>
      </c>
      <c r="E55" s="79" t="str">
        <f>IF(Picks!E55="","",Picks!E55)</f>
        <v>x</v>
      </c>
      <c r="F55" s="129" t="str">
        <f>IF(Picks!F55="","",Picks!F55)</f>
        <v/>
      </c>
      <c r="G55" s="44" t="str">
        <f>IF(Picks!G55="","",Picks!G55)</f>
        <v/>
      </c>
    </row>
    <row r="56" spans="1:7" ht="13.9" thickTop="1" thickBot="1">
      <c r="A56" s="112" t="str">
        <f>IF(Picks!A56="","",Picks!A56)</f>
        <v>Gerard Ventom</v>
      </c>
      <c r="B56" s="107" t="str">
        <f>IF(Picks!B56="","",Picks!B56)</f>
        <v>Bournemouth draw</v>
      </c>
      <c r="C56" s="540">
        <f>IF(Picks!C56="","",Picks!C56)</f>
        <v>7</v>
      </c>
      <c r="D56" s="108">
        <f>IF(Picks!D56="","",Picks!D56)</f>
        <v>3.5</v>
      </c>
      <c r="E56" s="109" t="str">
        <f>IF(Picks!E56="","",Picks!E56)</f>
        <v>x</v>
      </c>
      <c r="F56" s="110">
        <f>IF(Picks!F56="","",Picks!F56)</f>
        <v>7.120000000000001</v>
      </c>
      <c r="G56" s="111">
        <f>IF(Picks!G56="","",Picks!G56)</f>
        <v>60.040000000000006</v>
      </c>
    </row>
    <row r="57" spans="1:7" ht="13.15">
      <c r="A57" s="112"/>
      <c r="B57" s="59" t="str">
        <f>IF(Picks!B57="","",Picks!B57)</f>
        <v>Preston draw</v>
      </c>
      <c r="C57" s="540">
        <f>IF(Picks!C57="","",Picks!C57)</f>
        <v>7</v>
      </c>
      <c r="D57" s="44">
        <f>IF(Picks!D57="","",Picks!D57)</f>
        <v>3.2</v>
      </c>
      <c r="E57" s="79" t="str">
        <f>IF(Picks!E57="","",Picks!E57)</f>
        <v>√</v>
      </c>
      <c r="F57" s="129" t="str">
        <f>IF(Picks!F57="","",Picks!F57)</f>
        <v/>
      </c>
      <c r="G57" s="44" t="str">
        <f>IF(Picks!G57="","",Picks!G57)</f>
        <v/>
      </c>
    </row>
    <row r="58" spans="1:7" ht="13.5" thickBot="1">
      <c r="A58" s="130"/>
      <c r="B58" s="125" t="str">
        <f>IF(Picks!B58="","",Picks!B58)</f>
        <v>Wigan</v>
      </c>
      <c r="C58" s="541">
        <f>IF(Picks!C58="","",Picks!C58)</f>
        <v>7</v>
      </c>
      <c r="D58" s="126">
        <f>IF(Picks!D58="","",Picks!D58)</f>
        <v>2.6</v>
      </c>
      <c r="E58" s="79" t="str">
        <f>IF(Picks!E58="","",Picks!E58)</f>
        <v>√</v>
      </c>
      <c r="F58" s="129" t="str">
        <f>IF(Picks!F58="","",Picks!F58)</f>
        <v/>
      </c>
      <c r="G58" s="44" t="str">
        <f>IF(Picks!G58="","",Picks!G58)</f>
        <v/>
      </c>
    </row>
    <row r="59" spans="1:7" ht="13.9" thickTop="1" thickBot="1">
      <c r="A59" s="112" t="str">
        <f>IF(Picks!A59="","",Picks!A59)</f>
        <v>Graham Miller</v>
      </c>
      <c r="B59" s="107" t="str">
        <f>IF(Picks!B59="","",Picks!B59)</f>
        <v>Leeds</v>
      </c>
      <c r="C59" s="540">
        <f>IF(Picks!C59="","",Picks!C59)</f>
        <v>7</v>
      </c>
      <c r="D59" s="108">
        <f>IF(Picks!D59="","",Picks!D59)</f>
        <v>3.9</v>
      </c>
      <c r="E59" s="109" t="str">
        <f>IF(Picks!E59="","",Picks!E59)</f>
        <v>x</v>
      </c>
      <c r="F59" s="110">
        <f>IF(Picks!F59="","",Picks!F59)</f>
        <v>-7</v>
      </c>
      <c r="G59" s="111">
        <f>IF(Picks!G59="","",Picks!G59)</f>
        <v>197.79999999999995</v>
      </c>
    </row>
    <row r="60" spans="1:7" ht="13.15">
      <c r="A60" s="112"/>
      <c r="B60" s="59" t="str">
        <f>IF(Picks!B60="","",Picks!B60)</f>
        <v>Wolves</v>
      </c>
      <c r="C60" s="540">
        <f>IF(Picks!C60="","",Picks!C60)</f>
        <v>7</v>
      </c>
      <c r="D60" s="44">
        <f>IF(Picks!D60="","",Picks!D60)</f>
        <v>6.5</v>
      </c>
      <c r="E60" s="79" t="str">
        <f>IF(Picks!E60="","",Picks!E60)</f>
        <v>x</v>
      </c>
      <c r="F60" s="129" t="str">
        <f>IF(Picks!F60="","",Picks!F60)</f>
        <v/>
      </c>
      <c r="G60" s="44" t="str">
        <f>IF(Picks!G60="","",Picks!G60)</f>
        <v/>
      </c>
    </row>
    <row r="61" spans="1:7" ht="13.5" thickBot="1">
      <c r="A61" s="130"/>
      <c r="B61" s="125" t="str">
        <f>IF(Picks!B61="","",Picks!B61)</f>
        <v>Man U</v>
      </c>
      <c r="C61" s="541">
        <f>IF(Picks!C61="","",Picks!C61)</f>
        <v>1</v>
      </c>
      <c r="D61" s="126">
        <f>IF(Picks!D61="","",Picks!D61)</f>
        <v>4.5999999999999996</v>
      </c>
      <c r="E61" s="79" t="str">
        <f>IF(Picks!E61="","",Picks!E61)</f>
        <v>x</v>
      </c>
      <c r="F61" s="129" t="str">
        <f>IF(Picks!F61="","",Picks!F61)</f>
        <v/>
      </c>
      <c r="G61" s="44" t="str">
        <f>IF(Picks!G61="","",Picks!G61)</f>
        <v/>
      </c>
    </row>
    <row r="62" spans="1:7" ht="13.9" thickTop="1" thickBot="1">
      <c r="A62" s="112" t="str">
        <f>IF(Picks!A62="","",Picks!A62)</f>
        <v>Howard Bradley</v>
      </c>
      <c r="B62" s="107" t="str">
        <f>IF(Picks!B62="","",Picks!B62)</f>
        <v>West Brom</v>
      </c>
      <c r="C62" s="540">
        <f>IF(Picks!C62="","",Picks!C62)</f>
        <v>7</v>
      </c>
      <c r="D62" s="108">
        <f>IF(Picks!D62="","",Picks!D62)</f>
        <v>1.8</v>
      </c>
      <c r="E62" s="109" t="str">
        <f>IF(Picks!E62="","",Picks!E62)</f>
        <v>x</v>
      </c>
      <c r="F62" s="110">
        <f>IF(Picks!F62="","",Picks!F62)</f>
        <v>-7</v>
      </c>
      <c r="G62" s="111">
        <f>IF(Picks!G62="","",Picks!G62)</f>
        <v>20.927500000000002</v>
      </c>
    </row>
    <row r="63" spans="1:7" ht="13.15">
      <c r="A63" s="112"/>
      <c r="B63" s="59" t="str">
        <f>IF(Picks!B63="","",Picks!B63)</f>
        <v>Wrexham</v>
      </c>
      <c r="C63" s="540">
        <f>IF(Picks!C63="","",Picks!C63)</f>
        <v>7</v>
      </c>
      <c r="D63" s="44">
        <f>IF(Picks!D63="","",Picks!D63)</f>
        <v>1.85</v>
      </c>
      <c r="E63" s="79" t="str">
        <f>IF(Picks!E63="","",Picks!E63)</f>
        <v>x</v>
      </c>
      <c r="F63" s="129" t="str">
        <f>IF(Picks!F63="","",Picks!F63)</f>
        <v/>
      </c>
      <c r="G63" s="44" t="str">
        <f>IF(Picks!G63="","",Picks!G63)</f>
        <v/>
      </c>
    </row>
    <row r="64" spans="1:7" ht="13.5" thickBot="1">
      <c r="A64" s="130"/>
      <c r="B64" s="125" t="str">
        <f>IF(Picks!B64="","",Picks!B64)</f>
        <v>Blackpool</v>
      </c>
      <c r="C64" s="541">
        <f>IF(Picks!C64="","",Picks!C64)</f>
        <v>7</v>
      </c>
      <c r="D64" s="126">
        <f>IF(Picks!D64="","",Picks!D64)</f>
        <v>2.625</v>
      </c>
      <c r="E64" s="79" t="str">
        <f>IF(Picks!E64="","",Picks!E64)</f>
        <v>x</v>
      </c>
      <c r="F64" s="129" t="str">
        <f>IF(Picks!F64="","",Picks!F64)</f>
        <v/>
      </c>
      <c r="G64" s="44" t="str">
        <f>IF(Picks!G64="","",Picks!G64)</f>
        <v/>
      </c>
    </row>
    <row r="65" spans="1:7" ht="13.9" thickTop="1" thickBot="1">
      <c r="A65" s="112" t="str">
        <f>IF(Picks!A65="","",Picks!A65)</f>
        <v>Jack Walsh</v>
      </c>
      <c r="B65" s="107" t="str">
        <f>IF(Picks!B65="","",Picks!B65)</f>
        <v>Palace</v>
      </c>
      <c r="C65" s="540">
        <f>IF(Picks!C65="","",Picks!C65)</f>
        <v>7</v>
      </c>
      <c r="D65" s="108">
        <f>IF(Picks!D65="","",Picks!D65)</f>
        <v>1.6153846153846154</v>
      </c>
      <c r="E65" s="109" t="str">
        <f>IF(Picks!E65="","",Picks!E65)</f>
        <v>x</v>
      </c>
      <c r="F65" s="110">
        <f>IF(Picks!F65="","",Picks!F65)</f>
        <v>-5.7</v>
      </c>
      <c r="G65" s="111">
        <f>IF(Picks!G65="","",Picks!G65)</f>
        <v>12.753076923076925</v>
      </c>
    </row>
    <row r="66" spans="1:7" ht="13.15">
      <c r="A66" s="112"/>
      <c r="B66" s="59" t="str">
        <f>IF(Picks!B66="","",Picks!B66)</f>
        <v>Everton</v>
      </c>
      <c r="C66" s="540">
        <f>IF(Picks!C66="","",Picks!C66)</f>
        <v>7</v>
      </c>
      <c r="D66" s="44">
        <f>IF(Picks!D66="","",Picks!D66)</f>
        <v>2.4500000000000002</v>
      </c>
      <c r="E66" s="79" t="str">
        <f>IF(Picks!E66="","",Picks!E66)</f>
        <v>x</v>
      </c>
      <c r="F66" s="129" t="str">
        <f>IF(Picks!F66="","",Picks!F66)</f>
        <v/>
      </c>
      <c r="G66" s="44" t="str">
        <f>IF(Picks!G66="","",Picks!G66)</f>
        <v/>
      </c>
    </row>
    <row r="67" spans="1:7" ht="13.5" thickBot="1">
      <c r="A67" s="130"/>
      <c r="B67" s="125" t="str">
        <f>IF(Picks!B67="","",Picks!B67)</f>
        <v>Liverpool</v>
      </c>
      <c r="C67" s="541">
        <f>IF(Picks!C67="","",Picks!C67)</f>
        <v>1</v>
      </c>
      <c r="D67" s="126">
        <f>IF(Picks!D67="","",Picks!D67)</f>
        <v>1.3</v>
      </c>
      <c r="E67" s="79" t="str">
        <f>IF(Picks!E67="","",Picks!E67)</f>
        <v>√</v>
      </c>
      <c r="F67" s="129" t="str">
        <f>IF(Picks!F67="","",Picks!F67)</f>
        <v/>
      </c>
      <c r="G67" s="44" t="str">
        <f>IF(Picks!G67="","",Picks!G67)</f>
        <v/>
      </c>
    </row>
    <row r="68" spans="1:7" ht="13.9" thickTop="1" thickBot="1">
      <c r="A68" s="112" t="str">
        <f>IF(Picks!A68="","",Picks!A68)</f>
        <v>Julie Dodd</v>
      </c>
      <c r="B68" s="107" t="str">
        <f>IF(Picks!B68="","",Picks!B68)</f>
        <v>Wimbledon</v>
      </c>
      <c r="C68" s="540">
        <f>IF(Picks!C68="","",Picks!C68)</f>
        <v>7</v>
      </c>
      <c r="D68" s="108">
        <f>IF(Picks!D68="","",Picks!D68)</f>
        <v>2.15</v>
      </c>
      <c r="E68" s="109" t="str">
        <f>IF(Picks!E68="","",Picks!E68)</f>
        <v>√</v>
      </c>
      <c r="F68" s="110">
        <f>IF(Picks!F68="","",Picks!F68)</f>
        <v>-0.75499999999999989</v>
      </c>
      <c r="G68" s="111">
        <f>IF(Picks!G68="","",Picks!G68)</f>
        <v>10.112500000000001</v>
      </c>
    </row>
    <row r="69" spans="1:7" ht="13.15">
      <c r="A69" s="112"/>
      <c r="B69" s="59" t="str">
        <f>IF(Picks!B69="","",Picks!B69)</f>
        <v>Luton</v>
      </c>
      <c r="C69" s="540">
        <f>IF(Picks!C69="","",Picks!C69)</f>
        <v>7</v>
      </c>
      <c r="D69" s="44">
        <f>IF(Picks!D69="","",Picks!D69)</f>
        <v>1.5</v>
      </c>
      <c r="E69" s="79" t="str">
        <f>IF(Picks!E69="","",Picks!E69)</f>
        <v>x</v>
      </c>
      <c r="F69" s="129" t="str">
        <f>IF(Picks!F69="","",Picks!F69)</f>
        <v/>
      </c>
      <c r="G69" s="44" t="str">
        <f>IF(Picks!G69="","",Picks!G69)</f>
        <v/>
      </c>
    </row>
    <row r="70" spans="1:7" ht="13.5" thickBot="1">
      <c r="A70" s="130"/>
      <c r="B70" s="125" t="str">
        <f>IF(Picks!B70="","",Picks!B70)</f>
        <v>Liverpool</v>
      </c>
      <c r="C70" s="541">
        <f>IF(Picks!C70="","",Picks!C70)</f>
        <v>1</v>
      </c>
      <c r="D70" s="126">
        <f>IF(Picks!D70="","",Picks!D70)</f>
        <v>1.3</v>
      </c>
      <c r="E70" s="79" t="str">
        <f>IF(Picks!E70="","",Picks!E70)</f>
        <v>√</v>
      </c>
      <c r="F70" s="129" t="str">
        <f>IF(Picks!F70="","",Picks!F70)</f>
        <v/>
      </c>
      <c r="G70" s="44" t="str">
        <f>IF(Picks!G70="","",Picks!G70)</f>
        <v/>
      </c>
    </row>
    <row r="71" spans="1:7" ht="13.9" thickTop="1" thickBot="1">
      <c r="A71" s="112" t="str">
        <f>IF(Picks!A71="","",Picks!A71)</f>
        <v>Kevin Carter</v>
      </c>
      <c r="B71" s="107" t="str">
        <f>IF(Picks!B71="","",Picks!B71)</f>
        <v>West Brom</v>
      </c>
      <c r="C71" s="540">
        <f>IF(Picks!C71="","",Picks!C71)</f>
        <v>7</v>
      </c>
      <c r="D71" s="108">
        <f>IF(Picks!D71="","",Picks!D71)</f>
        <v>1.8</v>
      </c>
      <c r="E71" s="109" t="str">
        <f>IF(Picks!E71="","",Picks!E71)</f>
        <v>x</v>
      </c>
      <c r="F71" s="110">
        <f>IF(Picks!F71="","",Picks!F71)</f>
        <v>-7</v>
      </c>
      <c r="G71" s="111">
        <f>IF(Picks!G71="","",Picks!G71)</f>
        <v>20.101818181818182</v>
      </c>
    </row>
    <row r="72" spans="1:7" ht="13.15">
      <c r="A72" s="112"/>
      <c r="B72" s="59" t="str">
        <f>IF(Picks!B72="","",Picks!B72)</f>
        <v>Leicester</v>
      </c>
      <c r="C72" s="540">
        <f>IF(Picks!C72="","",Picks!C72)</f>
        <v>7</v>
      </c>
      <c r="D72" s="44">
        <f>IF(Picks!D72="","",Picks!D72)</f>
        <v>1.9090909090909092</v>
      </c>
      <c r="E72" s="79" t="str">
        <f>IF(Picks!E72="","",Picks!E72)</f>
        <v>x</v>
      </c>
      <c r="F72" s="129" t="str">
        <f>IF(Picks!F72="","",Picks!F72)</f>
        <v/>
      </c>
      <c r="G72" s="44" t="str">
        <f>IF(Picks!G72="","",Picks!G72)</f>
        <v/>
      </c>
    </row>
    <row r="73" spans="1:7" ht="13.5" thickBot="1">
      <c r="A73" s="130"/>
      <c r="B73" s="125" t="str">
        <f>IF(Picks!B73="","",Picks!B73)</f>
        <v>Everton</v>
      </c>
      <c r="C73" s="541">
        <f>IF(Picks!C73="","",Picks!C73)</f>
        <v>7</v>
      </c>
      <c r="D73" s="126">
        <f>IF(Picks!D73="","",Picks!D73)</f>
        <v>2.4500000000000002</v>
      </c>
      <c r="E73" s="79" t="str">
        <f>IF(Picks!E73="","",Picks!E73)</f>
        <v>x</v>
      </c>
      <c r="F73" s="129" t="str">
        <f>IF(Picks!F73="","",Picks!F73)</f>
        <v/>
      </c>
      <c r="G73" s="44" t="str">
        <f>IF(Picks!G73="","",Picks!G73)</f>
        <v/>
      </c>
    </row>
    <row r="74" spans="1:7" ht="13.9" thickTop="1" thickBot="1">
      <c r="A74" s="112" t="str">
        <f>IF(Picks!A74="","",Picks!A74)</f>
        <v>Lennie Bow</v>
      </c>
      <c r="B74" s="107" t="str">
        <f>IF(Picks!B74="","",Picks!B74)</f>
        <v>Coventry</v>
      </c>
      <c r="C74" s="540">
        <f>IF(Picks!C74="","",Picks!C74)</f>
        <v>7</v>
      </c>
      <c r="D74" s="108">
        <f>IF(Picks!D74="","",Picks!D74)</f>
        <v>1.7272727272727273</v>
      </c>
      <c r="E74" s="109" t="str">
        <f>IF(Picks!E74="","",Picks!E74)</f>
        <v>x</v>
      </c>
      <c r="F74" s="110">
        <f>IF(Picks!F74="","",Picks!F74)</f>
        <v>-7</v>
      </c>
      <c r="G74" s="111">
        <f>IF(Picks!G74="","",Picks!G74)</f>
        <v>11.09090909090909</v>
      </c>
    </row>
    <row r="75" spans="1:7" ht="13.15">
      <c r="A75" s="112"/>
      <c r="B75" s="59" t="str">
        <f>IF(Picks!B75="","",Picks!B75)</f>
        <v>West Brom</v>
      </c>
      <c r="C75" s="540">
        <f>IF(Picks!C75="","",Picks!C75)</f>
        <v>7</v>
      </c>
      <c r="D75" s="44">
        <f>IF(Picks!D75="","",Picks!D75)</f>
        <v>1.8</v>
      </c>
      <c r="E75" s="79" t="str">
        <f>IF(Picks!E75="","",Picks!E75)</f>
        <v>x</v>
      </c>
      <c r="F75" s="129" t="str">
        <f>IF(Picks!F75="","",Picks!F75)</f>
        <v/>
      </c>
      <c r="G75" s="44" t="str">
        <f>IF(Picks!G75="","",Picks!G75)</f>
        <v/>
      </c>
    </row>
    <row r="76" spans="1:7" ht="13.5" thickBot="1">
      <c r="A76" s="130"/>
      <c r="B76" s="125" t="str">
        <f>IF(Picks!B76="","",Picks!B76)</f>
        <v>Luton</v>
      </c>
      <c r="C76" s="541">
        <f>IF(Picks!C76="","",Picks!C76)</f>
        <v>7</v>
      </c>
      <c r="D76" s="126">
        <f>IF(Picks!D76="","",Picks!D76)</f>
        <v>1.5</v>
      </c>
      <c r="E76" s="79" t="str">
        <f>IF(Picks!E76="","",Picks!E76)</f>
        <v>x</v>
      </c>
      <c r="F76" s="129" t="str">
        <f>IF(Picks!F76="","",Picks!F76)</f>
        <v/>
      </c>
      <c r="G76" s="44" t="str">
        <f>IF(Picks!G76="","",Picks!G76)</f>
        <v/>
      </c>
    </row>
    <row r="77" spans="1:7" ht="13.9" thickTop="1" thickBot="1">
      <c r="A77" s="112" t="str">
        <f>IF(Picks!A77="","",Picks!A77)</f>
        <v>Mark Bunn</v>
      </c>
      <c r="B77" s="107" t="str">
        <f>IF(Picks!B77="","",Picks!B77)</f>
        <v>Bristol C</v>
      </c>
      <c r="C77" s="540">
        <f>IF(Picks!C77="","",Picks!C77)</f>
        <v>7</v>
      </c>
      <c r="D77" s="108">
        <f>IF(Picks!D77="","",Picks!D77)</f>
        <v>2.1</v>
      </c>
      <c r="E77" s="109" t="str">
        <f>IF(Picks!E77="","",Picks!E77)</f>
        <v>√</v>
      </c>
      <c r="F77" s="110">
        <f>IF(Picks!F77="","",Picks!F77)</f>
        <v>2.5399999999999991</v>
      </c>
      <c r="G77" s="111">
        <f>IF(Picks!G77="","",Picks!G77)</f>
        <v>31.524999999999999</v>
      </c>
    </row>
    <row r="78" spans="1:7" ht="13.15">
      <c r="A78" s="112"/>
      <c r="B78" s="59" t="str">
        <f>IF(Picks!B78="","",Picks!B78)</f>
        <v>Lincoln</v>
      </c>
      <c r="C78" s="540">
        <f>IF(Picks!C78="","",Picks!C78)</f>
        <v>7</v>
      </c>
      <c r="D78" s="44">
        <f>IF(Picks!D78="","",Picks!D78)</f>
        <v>2.4</v>
      </c>
      <c r="E78" s="79" t="str">
        <f>IF(Picks!E78="","",Picks!E78)</f>
        <v>√</v>
      </c>
      <c r="F78" s="129" t="str">
        <f>IF(Picks!F78="","",Picks!F78)</f>
        <v/>
      </c>
      <c r="G78" s="44" t="str">
        <f>IF(Picks!G78="","",Picks!G78)</f>
        <v/>
      </c>
    </row>
    <row r="79" spans="1:7" ht="13.5" thickBot="1">
      <c r="A79" s="130"/>
      <c r="B79" s="125" t="str">
        <f>IF(Picks!B79="","",Picks!B79)</f>
        <v>Doncaster</v>
      </c>
      <c r="C79" s="541">
        <f>IF(Picks!C79="","",Picks!C79)</f>
        <v>7</v>
      </c>
      <c r="D79" s="126">
        <f>IF(Picks!D79="","",Picks!D79)</f>
        <v>2.75</v>
      </c>
      <c r="E79" s="79" t="str">
        <f>IF(Picks!E79="","",Picks!E79)</f>
        <v>x</v>
      </c>
      <c r="F79" s="129" t="str">
        <f>IF(Picks!F79="","",Picks!F79)</f>
        <v/>
      </c>
      <c r="G79" s="44" t="str">
        <f>IF(Picks!G79="","",Picks!G79)</f>
        <v/>
      </c>
    </row>
    <row r="80" spans="1:7" ht="13.9" thickTop="1" thickBot="1">
      <c r="A80" s="112" t="str">
        <f>IF(Picks!A80="","",Picks!A80)</f>
        <v>Mark Saunders</v>
      </c>
      <c r="B80" s="107" t="str">
        <f>IF(Picks!B80="","",Picks!B80)</f>
        <v>Fulham draw</v>
      </c>
      <c r="C80" s="540">
        <f>IF(Picks!C80="","",Picks!C80)</f>
        <v>7</v>
      </c>
      <c r="D80" s="108">
        <f>IF(Picks!D80="","",Picks!D80)</f>
        <v>3.6</v>
      </c>
      <c r="E80" s="109" t="str">
        <f>IF(Picks!E80="","",Picks!E80)</f>
        <v>x</v>
      </c>
      <c r="F80" s="110">
        <f>IF(Picks!F80="","",Picks!F80)</f>
        <v>-7</v>
      </c>
      <c r="G80" s="111">
        <f>IF(Picks!G80="","",Picks!G80)</f>
        <v>50.88</v>
      </c>
    </row>
    <row r="81" spans="1:7" ht="13.15">
      <c r="A81" s="112"/>
      <c r="B81" s="59" t="str">
        <f>IF(Picks!B81="","",Picks!B81)</f>
        <v>West Ham draw</v>
      </c>
      <c r="C81" s="540">
        <f>IF(Picks!C81="","",Picks!C81)</f>
        <v>7</v>
      </c>
      <c r="D81" s="44">
        <f>IF(Picks!D81="","",Picks!D81)</f>
        <v>3.4</v>
      </c>
      <c r="E81" s="79" t="str">
        <f>IF(Picks!E81="","",Picks!E81)</f>
        <v>x</v>
      </c>
      <c r="F81" s="129" t="str">
        <f>IF(Picks!F81="","",Picks!F81)</f>
        <v/>
      </c>
      <c r="G81" s="44" t="str">
        <f>IF(Picks!G81="","",Picks!G81)</f>
        <v/>
      </c>
    </row>
    <row r="82" spans="1:7" ht="13.5" thickBot="1">
      <c r="A82" s="130"/>
      <c r="B82" s="125" t="str">
        <f>IF(Picks!B82="","",Picks!B82)</f>
        <v>Leicester</v>
      </c>
      <c r="C82" s="541">
        <f>IF(Picks!C82="","",Picks!C82)</f>
        <v>7</v>
      </c>
      <c r="D82" s="126">
        <f>IF(Picks!D82="","",Picks!D82)</f>
        <v>1.9090909090909092</v>
      </c>
      <c r="E82" s="79" t="str">
        <f>IF(Picks!E82="","",Picks!E82)</f>
        <v>x</v>
      </c>
      <c r="F82" s="129" t="str">
        <f>IF(Picks!F82="","",Picks!F82)</f>
        <v/>
      </c>
      <c r="G82" s="44" t="str">
        <f>IF(Picks!G82="","",Picks!G82)</f>
        <v/>
      </c>
    </row>
    <row r="83" spans="1:7" ht="13.9" thickTop="1" thickBot="1">
      <c r="A83" s="112" t="str">
        <f>IF(Picks!A83="","",Picks!A83)</f>
        <v>Martin Molyneux</v>
      </c>
      <c r="B83" s="107" t="str">
        <f>IF(Picks!B83="","",Picks!B83)</f>
        <v>Everton</v>
      </c>
      <c r="C83" s="540">
        <f>IF(Picks!C83="","",Picks!C83)</f>
        <v>7</v>
      </c>
      <c r="D83" s="108">
        <f>IF(Picks!D83="","",Picks!D83)</f>
        <v>2.4500000000000002</v>
      </c>
      <c r="E83" s="109" t="str">
        <f>IF(Picks!E83="","",Picks!E83)</f>
        <v>x</v>
      </c>
      <c r="F83" s="110">
        <f>IF(Picks!F83="","",Picks!F83)</f>
        <v>1.163636363636364</v>
      </c>
      <c r="G83" s="111">
        <f>IF(Picks!G83="","",Picks!G83)</f>
        <v>23.614545454545457</v>
      </c>
    </row>
    <row r="84" spans="1:7" ht="13.15">
      <c r="A84" s="112"/>
      <c r="B84" s="59" t="str">
        <f>IF(Picks!B84="","",Picks!B84)</f>
        <v>Fulham</v>
      </c>
      <c r="C84" s="540">
        <f>IF(Picks!C84="","",Picks!C84)</f>
        <v>7</v>
      </c>
      <c r="D84" s="44">
        <f>IF(Picks!D84="","",Picks!D84)</f>
        <v>1.9090909090909092</v>
      </c>
      <c r="E84" s="79" t="str">
        <f>IF(Picks!E84="","",Picks!E84)</f>
        <v>√</v>
      </c>
      <c r="F84" s="129" t="str">
        <f>IF(Picks!F84="","",Picks!F84)</f>
        <v/>
      </c>
      <c r="G84" s="44" t="str">
        <f>IF(Picks!G84="","",Picks!G84)</f>
        <v/>
      </c>
    </row>
    <row r="85" spans="1:7" ht="13.5" thickBot="1">
      <c r="A85" s="130"/>
      <c r="B85" s="125" t="str">
        <f>IF(Picks!B85="","",Picks!B85)</f>
        <v>Spurs</v>
      </c>
      <c r="C85" s="541">
        <f>IF(Picks!C85="","",Picks!C85)</f>
        <v>7</v>
      </c>
      <c r="D85" s="126">
        <f>IF(Picks!D85="","",Picks!D85)</f>
        <v>2.15</v>
      </c>
      <c r="E85" s="79" t="str">
        <f>IF(Picks!E85="","",Picks!E85)</f>
        <v>√</v>
      </c>
      <c r="F85" s="129" t="str">
        <f>IF(Picks!F85="","",Picks!F85)</f>
        <v/>
      </c>
      <c r="G85" s="44" t="str">
        <f>IF(Picks!G85="","",Picks!G85)</f>
        <v/>
      </c>
    </row>
    <row r="86" spans="1:7" ht="13.9" thickTop="1" thickBot="1">
      <c r="A86" s="112" t="str">
        <f>IF(Picks!A86="","",Picks!A86)</f>
        <v>Martin Tarbuck</v>
      </c>
      <c r="B86" s="107" t="str">
        <f>IF(Picks!B86="","",Picks!B86)</f>
        <v>Arsenal</v>
      </c>
      <c r="C86" s="540">
        <f>IF(Picks!C86="","",Picks!C86)</f>
        <v>7</v>
      </c>
      <c r="D86" s="108">
        <f>IF(Picks!D86="","",Picks!D86)</f>
        <v>1.4</v>
      </c>
      <c r="E86" s="109" t="str">
        <f>IF(Picks!E86="","",Picks!E86)</f>
        <v>√</v>
      </c>
      <c r="F86" s="110">
        <f>IF(Picks!F86="","",Picks!F86)</f>
        <v>9.1120000000000019</v>
      </c>
      <c r="G86" s="111">
        <f>IF(Picks!G86="","",Picks!G86)</f>
        <v>9.1120000000000019</v>
      </c>
    </row>
    <row r="87" spans="1:7" ht="13.15">
      <c r="A87" s="112"/>
      <c r="B87" s="59" t="str">
        <f>IF(Picks!B87="","",Picks!B87)</f>
        <v>Bristol C</v>
      </c>
      <c r="C87" s="540">
        <f>IF(Picks!C87="","",Picks!C87)</f>
        <v>7</v>
      </c>
      <c r="D87" s="44">
        <f>IF(Picks!D87="","",Picks!D87)</f>
        <v>2.1</v>
      </c>
      <c r="E87" s="79" t="str">
        <f>IF(Picks!E87="","",Picks!E87)</f>
        <v>√</v>
      </c>
      <c r="F87" s="129" t="str">
        <f>IF(Picks!F87="","",Picks!F87)</f>
        <v/>
      </c>
      <c r="G87" s="44" t="str">
        <f>IF(Picks!G87="","",Picks!G87)</f>
        <v/>
      </c>
    </row>
    <row r="88" spans="1:7" ht="13.5" thickBot="1">
      <c r="A88" s="130"/>
      <c r="B88" s="125" t="str">
        <f>IF(Picks!B88="","",Picks!B88)</f>
        <v>Liverpool</v>
      </c>
      <c r="C88" s="541">
        <f>IF(Picks!C88="","",Picks!C88)</f>
        <v>1</v>
      </c>
      <c r="D88" s="126">
        <f>IF(Picks!D88="","",Picks!D88)</f>
        <v>1.3</v>
      </c>
      <c r="E88" s="79" t="str">
        <f>IF(Picks!E88="","",Picks!E88)</f>
        <v>√</v>
      </c>
      <c r="F88" s="129" t="str">
        <f>IF(Picks!F88="","",Picks!F88)</f>
        <v/>
      </c>
      <c r="G88" s="44" t="str">
        <f>IF(Picks!G88="","",Picks!G88)</f>
        <v/>
      </c>
    </row>
    <row r="89" spans="1:7" ht="13.9" thickTop="1" thickBot="1">
      <c r="A89" s="112" t="str">
        <f>IF(Picks!A89="","",Picks!A89)</f>
        <v>Mike Penk</v>
      </c>
      <c r="B89" s="107" t="str">
        <f>IF(Picks!B89="","",Picks!B89)</f>
        <v>Cardiff</v>
      </c>
      <c r="C89" s="540">
        <f>IF(Picks!C89="","",Picks!C89)</f>
        <v>7</v>
      </c>
      <c r="D89" s="108">
        <f>IF(Picks!D89="","",Picks!D89)</f>
        <v>2.5</v>
      </c>
      <c r="E89" s="109" t="str">
        <f>IF(Picks!E89="","",Picks!E89)</f>
        <v>x</v>
      </c>
      <c r="F89" s="110">
        <f>IF(Picks!F89="","",Picks!F89)</f>
        <v>-5.15</v>
      </c>
      <c r="G89" s="111">
        <f>IF(Picks!G89="","",Picks!G89)</f>
        <v>20.428750000000001</v>
      </c>
    </row>
    <row r="90" spans="1:7" ht="13.15">
      <c r="A90" s="112"/>
      <c r="B90" s="59" t="str">
        <f>IF(Picks!B90="","",Picks!B90)</f>
        <v>Wrexham</v>
      </c>
      <c r="C90" s="540">
        <f>IF(Picks!C90="","",Picks!C90)</f>
        <v>7</v>
      </c>
      <c r="D90" s="44">
        <f>IF(Picks!D90="","",Picks!D90)</f>
        <v>1.85</v>
      </c>
      <c r="E90" s="79" t="str">
        <f>IF(Picks!E90="","",Picks!E90)</f>
        <v>x</v>
      </c>
      <c r="F90" s="129" t="str">
        <f>IF(Picks!F90="","",Picks!F90)</f>
        <v/>
      </c>
      <c r="G90" s="44" t="str">
        <f>IF(Picks!G90="","",Picks!G90)</f>
        <v/>
      </c>
    </row>
    <row r="91" spans="1:7" ht="13.5" thickBot="1">
      <c r="A91" s="130"/>
      <c r="B91" s="125" t="str">
        <f>IF(Picks!B91="","",Picks!B91)</f>
        <v>Barnsley</v>
      </c>
      <c r="C91" s="541">
        <f>IF(Picks!C91="","",Picks!C91)</f>
        <v>7</v>
      </c>
      <c r="D91" s="126">
        <f>IF(Picks!D91="","",Picks!D91)</f>
        <v>1.85</v>
      </c>
      <c r="E91" s="79" t="str">
        <f>IF(Picks!E91="","",Picks!E91)</f>
        <v>√</v>
      </c>
      <c r="F91" s="129" t="str">
        <f>IF(Picks!F91="","",Picks!F91)</f>
        <v/>
      </c>
      <c r="G91" s="44" t="str">
        <f>IF(Picks!G91="","",Picks!G91)</f>
        <v/>
      </c>
    </row>
    <row r="92" spans="1:7" ht="13.9" thickTop="1" thickBot="1">
      <c r="A92" s="112" t="str">
        <f>IF(Picks!A92="","",Picks!A92)</f>
        <v>Nick Blocksidge</v>
      </c>
      <c r="B92" s="107" t="str">
        <f>IF(Picks!B92="","",Picks!B92)</f>
        <v>Bournemouth draw</v>
      </c>
      <c r="C92" s="540">
        <f>IF(Picks!C92="","",Picks!C92)</f>
        <v>7</v>
      </c>
      <c r="D92" s="108">
        <f>IF(Picks!D92="","",Picks!D92)</f>
        <v>3.5</v>
      </c>
      <c r="E92" s="109" t="str">
        <f>IF(Picks!E92="","",Picks!E92)</f>
        <v>x</v>
      </c>
      <c r="F92" s="110">
        <f>IF(Picks!F92="","",Picks!F92)</f>
        <v>-5.5555555555555554</v>
      </c>
      <c r="G92" s="111">
        <f>IF(Picks!G92="","",Picks!G92)</f>
        <v>29.950000000000003</v>
      </c>
    </row>
    <row r="93" spans="1:7" ht="13.15">
      <c r="A93" s="112"/>
      <c r="B93" s="59" t="str">
        <f>IF(Picks!B93="","",Picks!B93)</f>
        <v>Everton</v>
      </c>
      <c r="C93" s="540">
        <f>IF(Picks!C93="","",Picks!C93)</f>
        <v>7</v>
      </c>
      <c r="D93" s="44">
        <f>IF(Picks!D93="","",Picks!D93)</f>
        <v>2.4500000000000002</v>
      </c>
      <c r="E93" s="79" t="str">
        <f>IF(Picks!E93="","",Picks!E93)</f>
        <v>x</v>
      </c>
      <c r="F93" s="129" t="str">
        <f>IF(Picks!F93="","",Picks!F93)</f>
        <v/>
      </c>
      <c r="G93" s="44" t="str">
        <f>IF(Picks!G93="","",Picks!G93)</f>
        <v/>
      </c>
    </row>
    <row r="94" spans="1:7" ht="13.5" thickBot="1">
      <c r="A94" s="130"/>
      <c r="B94" s="125" t="str">
        <f>IF(Picks!B94="","",Picks!B94)</f>
        <v>Newcastle</v>
      </c>
      <c r="C94" s="541">
        <f>IF(Picks!C94="","",Picks!C94)</f>
        <v>7</v>
      </c>
      <c r="D94" s="126">
        <f>IF(Picks!D94="","",Picks!D94)</f>
        <v>1.4444444444444444</v>
      </c>
      <c r="E94" s="79" t="str">
        <f>IF(Picks!E94="","",Picks!E94)</f>
        <v>√</v>
      </c>
      <c r="F94" s="129" t="str">
        <f>IF(Picks!F94="","",Picks!F94)</f>
        <v/>
      </c>
      <c r="G94" s="44" t="str">
        <f>IF(Picks!G94="","",Picks!G94)</f>
        <v/>
      </c>
    </row>
    <row r="95" spans="1:7" ht="13.9" thickTop="1" thickBot="1">
      <c r="A95" s="112" t="str">
        <f>IF(Picks!A95="","",Picks!A95)</f>
        <v>Nigel Heyes</v>
      </c>
      <c r="B95" s="107" t="str">
        <f>IF(Picks!B95="","",Picks!B95)</f>
        <v>Watford</v>
      </c>
      <c r="C95" s="540">
        <f>IF(Picks!C95="","",Picks!C95)</f>
        <v>7</v>
      </c>
      <c r="D95" s="108">
        <f>IF(Picks!D95="","",Picks!D95)</f>
        <v>2.4500000000000002</v>
      </c>
      <c r="E95" s="109" t="str">
        <f>IF(Picks!E95="","",Picks!E95)</f>
        <v>x</v>
      </c>
      <c r="F95" s="110">
        <f>IF(Picks!F95="","",Picks!F95)</f>
        <v>-7</v>
      </c>
      <c r="G95" s="111">
        <f>IF(Picks!G95="","",Picks!G95)</f>
        <v>34.383250000000004</v>
      </c>
    </row>
    <row r="96" spans="1:7" ht="13.15">
      <c r="A96" s="112"/>
      <c r="B96" s="59" t="str">
        <f>IF(Picks!B96="","",Picks!B96)</f>
        <v>Orient</v>
      </c>
      <c r="C96" s="540">
        <f>IF(Picks!C96="","",Picks!C96)</f>
        <v>7</v>
      </c>
      <c r="D96" s="44">
        <f>IF(Picks!D96="","",Picks!D96)</f>
        <v>2.9</v>
      </c>
      <c r="E96" s="79" t="str">
        <f>IF(Picks!E96="","",Picks!E96)</f>
        <v>x</v>
      </c>
      <c r="F96" s="129" t="str">
        <f>IF(Picks!F96="","",Picks!F96)</f>
        <v/>
      </c>
      <c r="G96" s="44" t="str">
        <f>IF(Picks!G96="","",Picks!G96)</f>
        <v/>
      </c>
    </row>
    <row r="97" spans="1:7" ht="13.5" thickBot="1">
      <c r="A97" s="130"/>
      <c r="B97" s="125" t="str">
        <f>IF(Picks!B97="","",Picks!B97)</f>
        <v>Chesterfield</v>
      </c>
      <c r="C97" s="541">
        <f>IF(Picks!C97="","",Picks!C97)</f>
        <v>7</v>
      </c>
      <c r="D97" s="126">
        <f>IF(Picks!D97="","",Picks!D97)</f>
        <v>2.15</v>
      </c>
      <c r="E97" s="79" t="str">
        <f>IF(Picks!E97="","",Picks!E97)</f>
        <v>x</v>
      </c>
      <c r="F97" s="129" t="str">
        <f>IF(Picks!F97="","",Picks!F97)</f>
        <v/>
      </c>
      <c r="G97" s="44" t="str">
        <f>IF(Picks!G97="","",Picks!G97)</f>
        <v/>
      </c>
    </row>
    <row r="98" spans="1:7" ht="13.9" thickTop="1" thickBot="1">
      <c r="A98" s="112" t="str">
        <f>IF(Picks!A98="","",Picks!A98)</f>
        <v>Paul Adderley</v>
      </c>
      <c r="B98" s="107" t="str">
        <f>IF(Picks!B98="","",Picks!B98)</f>
        <v>Liverpool</v>
      </c>
      <c r="C98" s="540">
        <f>IF(Picks!C98="","",Picks!C98)</f>
        <v>1</v>
      </c>
      <c r="D98" s="108">
        <f>IF(Picks!D98="","",Picks!D98)</f>
        <v>1.3</v>
      </c>
      <c r="E98" s="109" t="str">
        <f>IF(Picks!E98="","",Picks!E98)</f>
        <v>√</v>
      </c>
      <c r="F98" s="110">
        <f>IF(Picks!F98="","",Picks!F98)</f>
        <v>-1.8666666666666671</v>
      </c>
      <c r="G98" s="111">
        <f>IF(Picks!G98="","",Picks!G98)</f>
        <v>26.346666666666664</v>
      </c>
    </row>
    <row r="99" spans="1:7" ht="13.15">
      <c r="A99" s="112"/>
      <c r="B99" s="59" t="str">
        <f>IF(Picks!B99="","",Picks!B99)</f>
        <v>Man C</v>
      </c>
      <c r="C99" s="540">
        <f>IF(Picks!C99="","",Picks!C99)</f>
        <v>1</v>
      </c>
      <c r="D99" s="44">
        <f>IF(Picks!D99="","",Picks!D99)</f>
        <v>1.6666666666666665</v>
      </c>
      <c r="E99" s="79" t="str">
        <f>IF(Picks!E99="","",Picks!E99)</f>
        <v>√</v>
      </c>
      <c r="F99" s="129" t="str">
        <f>IF(Picks!F99="","",Picks!F99)</f>
        <v/>
      </c>
      <c r="G99" s="44" t="str">
        <f>IF(Picks!G99="","",Picks!G99)</f>
        <v/>
      </c>
    </row>
    <row r="100" spans="1:7" ht="13.5" thickBot="1">
      <c r="A100" s="130"/>
      <c r="B100" s="125" t="str">
        <f>IF(Picks!B100="","",Picks!B100)</f>
        <v>Portsmouth</v>
      </c>
      <c r="C100" s="541">
        <f>IF(Picks!C100="","",Picks!C100)</f>
        <v>1</v>
      </c>
      <c r="D100" s="126">
        <f>IF(Picks!D100="","",Picks!D100)</f>
        <v>4.5999999999999996</v>
      </c>
      <c r="E100" s="79" t="str">
        <f>IF(Picks!E100="","",Picks!E100)</f>
        <v>x</v>
      </c>
      <c r="F100" s="129" t="str">
        <f>IF(Picks!F100="","",Picks!F100)</f>
        <v/>
      </c>
      <c r="G100" s="44" t="str">
        <f>IF(Picks!G100="","",Picks!G100)</f>
        <v/>
      </c>
    </row>
    <row r="101" spans="1:7" ht="13.9" thickTop="1" thickBot="1">
      <c r="A101" s="112" t="str">
        <f>IF(Picks!A101="","",Picks!A101)</f>
        <v>Paul Allen</v>
      </c>
      <c r="B101" s="107" t="str">
        <f>IF(Picks!B101="","",Picks!B101)</f>
        <v>Sheff U</v>
      </c>
      <c r="C101" s="540">
        <f>IF(Picks!C101="","",Picks!C101)</f>
        <v>6</v>
      </c>
      <c r="D101" s="108">
        <f>IF(Picks!D101="","",Picks!D101)</f>
        <v>4</v>
      </c>
      <c r="E101" s="109" t="str">
        <f>IF(Picks!E101="","",Picks!E101)</f>
        <v>x</v>
      </c>
      <c r="F101" s="110">
        <f>IF(Picks!F101="","",Picks!F101)</f>
        <v>-3.8</v>
      </c>
      <c r="G101" s="111">
        <f>IF(Picks!G101="","",Picks!G101)</f>
        <v>86.5</v>
      </c>
    </row>
    <row r="102" spans="1:7" ht="13.15">
      <c r="A102" s="112"/>
      <c r="B102" s="59" t="str">
        <f>IF(Picks!B102="","",Picks!B102)</f>
        <v>Bournemouth draw</v>
      </c>
      <c r="C102" s="540">
        <f>IF(Picks!C102="","",Picks!C102)</f>
        <v>7</v>
      </c>
      <c r="D102" s="44">
        <f>IF(Picks!D102="","",Picks!D102)</f>
        <v>3.5</v>
      </c>
      <c r="E102" s="79" t="str">
        <f>IF(Picks!E102="","",Picks!E102)</f>
        <v>x</v>
      </c>
      <c r="F102" s="129" t="str">
        <f>IF(Picks!F102="","",Picks!F102)</f>
        <v/>
      </c>
      <c r="G102" s="44" t="str">
        <f>IF(Picks!G102="","",Picks!G102)</f>
        <v/>
      </c>
    </row>
    <row r="103" spans="1:7" ht="13.5" thickBot="1">
      <c r="A103" s="130"/>
      <c r="B103" s="125" t="str">
        <f>IF(Picks!B103="","",Picks!B103)</f>
        <v>Everton draw</v>
      </c>
      <c r="C103" s="541">
        <f>IF(Picks!C103="","",Picks!C103)</f>
        <v>7</v>
      </c>
      <c r="D103" s="126">
        <f>IF(Picks!D103="","",Picks!D103)</f>
        <v>3.2</v>
      </c>
      <c r="E103" s="79" t="str">
        <f>IF(Picks!E103="","",Picks!E103)</f>
        <v>√</v>
      </c>
      <c r="F103" s="129" t="str">
        <f>IF(Picks!F103="","",Picks!F103)</f>
        <v/>
      </c>
      <c r="G103" s="44" t="str">
        <f>IF(Picks!G103="","",Picks!G103)</f>
        <v/>
      </c>
    </row>
    <row r="104" spans="1:7" ht="13.9" thickTop="1" thickBot="1">
      <c r="A104" s="112" t="str">
        <f>IF(Picks!A104="","",Picks!A104)</f>
        <v>Paul Barnes</v>
      </c>
      <c r="B104" s="107" t="str">
        <f>IF(Picks!B104="","",Picks!B104)</f>
        <v>Fulham</v>
      </c>
      <c r="C104" s="540">
        <f>IF(Picks!C104="","",Picks!C104)</f>
        <v>7</v>
      </c>
      <c r="D104" s="108">
        <f>IF(Picks!D104="","",Picks!D104)</f>
        <v>1.9090909090909092</v>
      </c>
      <c r="E104" s="109" t="str">
        <f>IF(Picks!E104="","",Picks!E104)</f>
        <v>√</v>
      </c>
      <c r="F104" s="110">
        <f>IF(Picks!F104="","",Picks!F104)</f>
        <v>-0.8888888888888884</v>
      </c>
      <c r="G104" s="111">
        <f>IF(Picks!G104="","",Picks!G104)</f>
        <v>10.598290598290603</v>
      </c>
    </row>
    <row r="105" spans="1:7" ht="13.15">
      <c r="A105" s="112"/>
      <c r="B105" s="59" t="str">
        <f>IF(Picks!B105="","",Picks!B105)</f>
        <v>Newcastle</v>
      </c>
      <c r="C105" s="540">
        <f>IF(Picks!C105="","",Picks!C105)</f>
        <v>7</v>
      </c>
      <c r="D105" s="44">
        <f>IF(Picks!D105="","",Picks!D105)</f>
        <v>1.4444444444444444</v>
      </c>
      <c r="E105" s="79" t="str">
        <f>IF(Picks!E105="","",Picks!E105)</f>
        <v>√</v>
      </c>
      <c r="F105" s="129" t="str">
        <f>IF(Picks!F105="","",Picks!F105)</f>
        <v/>
      </c>
      <c r="G105" s="44" t="str">
        <f>IF(Picks!G105="","",Picks!G105)</f>
        <v/>
      </c>
    </row>
    <row r="106" spans="1:7" ht="13.5" thickBot="1">
      <c r="A106" s="130"/>
      <c r="B106" s="125" t="str">
        <f>IF(Picks!B106="","",Picks!B106)</f>
        <v>Palace</v>
      </c>
      <c r="C106" s="541">
        <f>IF(Picks!C106="","",Picks!C106)</f>
        <v>7</v>
      </c>
      <c r="D106" s="126">
        <f>IF(Picks!D106="","",Picks!D106)</f>
        <v>1.6153846153846154</v>
      </c>
      <c r="E106" s="79" t="str">
        <f>IF(Picks!E106="","",Picks!E106)</f>
        <v>x</v>
      </c>
      <c r="F106" s="129" t="str">
        <f>IF(Picks!F106="","",Picks!F106)</f>
        <v/>
      </c>
      <c r="G106" s="44" t="str">
        <f>IF(Picks!G106="","",Picks!G106)</f>
        <v/>
      </c>
    </row>
    <row r="107" spans="1:7" ht="13.9" thickTop="1" thickBot="1">
      <c r="A107" s="112" t="str">
        <f>IF(Picks!A107="","",Picks!A107)</f>
        <v>Paul Fairhurst</v>
      </c>
      <c r="B107" s="107" t="str">
        <f>IF(Picks!B107="","",Picks!B107)</f>
        <v>Charlton draw</v>
      </c>
      <c r="C107" s="540">
        <f>IF(Picks!C107="","",Picks!C107)</f>
        <v>7</v>
      </c>
      <c r="D107" s="108">
        <f>IF(Picks!D107="","",Picks!D107)</f>
        <v>3.1</v>
      </c>
      <c r="E107" s="109" t="str">
        <f>IF(Picks!E107="","",Picks!E107)</f>
        <v>√</v>
      </c>
      <c r="F107" s="110">
        <f>IF(Picks!F107="","",Picks!F107)</f>
        <v>11.270000000000003</v>
      </c>
      <c r="G107" s="111">
        <f>IF(Picks!G107="","",Picks!G107)</f>
        <v>72.934000000000012</v>
      </c>
    </row>
    <row r="108" spans="1:7" ht="13.15">
      <c r="A108" s="112"/>
      <c r="B108" s="59" t="str">
        <f>IF(Picks!B108="","",Picks!B108)</f>
        <v>Bradford draw</v>
      </c>
      <c r="C108" s="540">
        <f>IF(Picks!C108="","",Picks!C108)</f>
        <v>7</v>
      </c>
      <c r="D108" s="44">
        <f>IF(Picks!D108="","",Picks!D108)</f>
        <v>3.2</v>
      </c>
      <c r="E108" s="79" t="str">
        <f>IF(Picks!E108="","",Picks!E108)</f>
        <v>x</v>
      </c>
      <c r="F108" s="129" t="str">
        <f>IF(Picks!F108="","",Picks!F108)</f>
        <v/>
      </c>
      <c r="G108" s="44" t="str">
        <f>IF(Picks!G108="","",Picks!G108)</f>
        <v/>
      </c>
    </row>
    <row r="109" spans="1:7" ht="13.5" thickBot="1">
      <c r="A109" s="130"/>
      <c r="B109" s="125" t="str">
        <f>IF(Picks!B109="","",Picks!B109)</f>
        <v>Southampton draw</v>
      </c>
      <c r="C109" s="541">
        <f>IF(Picks!C109="","",Picks!C109)</f>
        <v>1</v>
      </c>
      <c r="D109" s="126">
        <f>IF(Picks!D109="","",Picks!D109)</f>
        <v>3.7</v>
      </c>
      <c r="E109" s="79" t="str">
        <f>IF(Picks!E109="","",Picks!E109)</f>
        <v>√</v>
      </c>
      <c r="F109" s="129" t="str">
        <f>IF(Picks!F109="","",Picks!F109)</f>
        <v/>
      </c>
      <c r="G109" s="44" t="str">
        <f>IF(Picks!G109="","",Picks!G109)</f>
        <v/>
      </c>
    </row>
    <row r="110" spans="1:7" ht="13.9" thickTop="1" thickBot="1">
      <c r="A110" s="112" t="str">
        <f>IF(Picks!A110="","",Picks!A110)</f>
        <v>Phil Miller</v>
      </c>
      <c r="B110" s="107" t="str">
        <f>IF(Picks!B110="","",Picks!B110)</f>
        <v/>
      </c>
      <c r="C110" s="540" t="str">
        <f>IF(Picks!C110="","",Picks!C110)</f>
        <v/>
      </c>
      <c r="D110" s="108" t="str">
        <f>IF(Picks!D110="","",Picks!D110)</f>
        <v/>
      </c>
      <c r="E110" s="109" t="str">
        <f>IF(Picks!E110="","",Picks!E110)</f>
        <v/>
      </c>
      <c r="F110" s="110">
        <f>IF(Picks!F110="","",Picks!F110)</f>
        <v>-10</v>
      </c>
      <c r="G110" s="111" t="str">
        <f>IF(Picks!G110="","",Picks!G110)</f>
        <v/>
      </c>
    </row>
    <row r="111" spans="1:7" ht="13.15">
      <c r="A111" s="112"/>
      <c r="B111" s="59" t="str">
        <f>IF(Picks!B111="","",Picks!B111)</f>
        <v/>
      </c>
      <c r="C111" s="540" t="str">
        <f>IF(Picks!C111="","",Picks!C111)</f>
        <v/>
      </c>
      <c r="D111" s="44" t="str">
        <f>IF(Picks!D111="","",Picks!D111)</f>
        <v/>
      </c>
      <c r="E111" s="79" t="str">
        <f>IF(Picks!E111="","",Picks!E111)</f>
        <v/>
      </c>
      <c r="F111" s="129" t="str">
        <f>IF(Picks!F111="","",Picks!F111)</f>
        <v/>
      </c>
      <c r="G111" s="44" t="str">
        <f>IF(Picks!G111="","",Picks!G111)</f>
        <v/>
      </c>
    </row>
    <row r="112" spans="1:7" ht="13.5" thickBot="1">
      <c r="A112" s="130"/>
      <c r="B112" s="59" t="str">
        <f>IF(Picks!B112="","",Picks!B112)</f>
        <v/>
      </c>
      <c r="C112" s="541" t="str">
        <f>IF(Picks!C112="","",Picks!C112)</f>
        <v/>
      </c>
      <c r="D112" s="126" t="str">
        <f>IF(Picks!D112="","",Picks!D112)</f>
        <v/>
      </c>
      <c r="E112" s="79" t="str">
        <f>IF(Picks!E112="","",Picks!E112)</f>
        <v/>
      </c>
      <c r="F112" s="129" t="str">
        <f>IF(Picks!F112="","",Picks!F112)</f>
        <v/>
      </c>
      <c r="G112" s="44" t="str">
        <f>IF(Picks!G112="","",Picks!G112)</f>
        <v/>
      </c>
    </row>
    <row r="113" spans="1:7" ht="13.9" thickTop="1" thickBot="1">
      <c r="A113" s="112" t="str">
        <f>IF(Picks!A113="","",Picks!A113)</f>
        <v>Rob England</v>
      </c>
      <c r="B113" s="107" t="str">
        <f>IF(Picks!B113="","",Picks!B113)</f>
        <v>Swindon</v>
      </c>
      <c r="C113" s="540">
        <f>IF(Picks!C113="","",Picks!C113)</f>
        <v>7</v>
      </c>
      <c r="D113" s="108">
        <f>IF(Picks!D113="","",Picks!D113)</f>
        <v>1.6666666666666665</v>
      </c>
      <c r="E113" s="109" t="str">
        <f>IF(Picks!E113="","",Picks!E113)</f>
        <v>√</v>
      </c>
      <c r="F113" s="110">
        <f>IF(Picks!F113="","",Picks!F113)</f>
        <v>-0.88888888888888928</v>
      </c>
      <c r="G113" s="111">
        <f>IF(Picks!G113="","",Picks!G113)</f>
        <v>10.598290598290596</v>
      </c>
    </row>
    <row r="114" spans="1:7" ht="13.15">
      <c r="A114" s="112"/>
      <c r="B114" s="59" t="str">
        <f>IF(Picks!B114="","",Picks!B114)</f>
        <v>Tranmere</v>
      </c>
      <c r="C114" s="540">
        <f>IF(Picks!C114="","",Picks!C114)</f>
        <v>7</v>
      </c>
      <c r="D114" s="44">
        <f>IF(Picks!D114="","",Picks!D114)</f>
        <v>1.6153846153846154</v>
      </c>
      <c r="E114" s="79" t="str">
        <f>IF(Picks!E114="","",Picks!E114)</f>
        <v>x</v>
      </c>
      <c r="F114" s="129" t="str">
        <f>IF(Picks!F114="","",Picks!F114)</f>
        <v/>
      </c>
      <c r="G114" s="44" t="str">
        <f>IF(Picks!G114="","",Picks!G114)</f>
        <v/>
      </c>
    </row>
    <row r="115" spans="1:7" ht="13.5" thickBot="1">
      <c r="A115" s="130"/>
      <c r="B115" s="125" t="str">
        <f>IF(Picks!B115="","",Picks!B115)</f>
        <v>Man C</v>
      </c>
      <c r="C115" s="541">
        <f>IF(Picks!C115="","",Picks!C115)</f>
        <v>1</v>
      </c>
      <c r="D115" s="126">
        <f>IF(Picks!D115="","",Picks!D115)</f>
        <v>1.6666666666666665</v>
      </c>
      <c r="E115" s="79" t="str">
        <f>IF(Picks!E115="","",Picks!E115)</f>
        <v>√</v>
      </c>
      <c r="F115" s="129" t="str">
        <f>IF(Picks!F115="","",Picks!F115)</f>
        <v/>
      </c>
      <c r="G115" s="44" t="str">
        <f>IF(Picks!G115="","",Picks!G115)</f>
        <v/>
      </c>
    </row>
    <row r="116" spans="1:7" ht="13.9" thickTop="1" thickBot="1">
      <c r="A116" s="112" t="str">
        <f>IF(Picks!A116="","",Picks!A116)</f>
        <v>Simon Greenhalgh</v>
      </c>
      <c r="B116" s="107" t="str">
        <f>IF(Picks!B116="","",Picks!B116)</f>
        <v>Bournemouth</v>
      </c>
      <c r="C116" s="540">
        <f>IF(Picks!C116="","",Picks!C116)</f>
        <v>7</v>
      </c>
      <c r="D116" s="108">
        <f>IF(Picks!D116="","",Picks!D116)</f>
        <v>2.4</v>
      </c>
      <c r="E116" s="109" t="str">
        <f>IF(Picks!E116="","",Picks!E116)</f>
        <v>√</v>
      </c>
      <c r="F116" s="110">
        <f>IF(Picks!F116="","",Picks!F116)</f>
        <v>5.6</v>
      </c>
      <c r="G116" s="111">
        <f>IF(Picks!G116="","",Picks!G116)</f>
        <v>43</v>
      </c>
    </row>
    <row r="117" spans="1:7" ht="13.15">
      <c r="A117" s="112"/>
      <c r="B117" s="59" t="str">
        <f>IF(Picks!B117="","",Picks!B117)</f>
        <v>Stoke</v>
      </c>
      <c r="C117" s="540">
        <f>IF(Picks!C117="","",Picks!C117)</f>
        <v>7</v>
      </c>
      <c r="D117" s="44">
        <f>IF(Picks!D117="","",Picks!D117)</f>
        <v>3</v>
      </c>
      <c r="E117" s="79" t="str">
        <f>IF(Picks!E117="","",Picks!E117)</f>
        <v>√</v>
      </c>
      <c r="F117" s="129" t="str">
        <f>IF(Picks!F117="","",Picks!F117)</f>
        <v/>
      </c>
      <c r="G117" s="44" t="str">
        <f>IF(Picks!G117="","",Picks!G117)</f>
        <v/>
      </c>
    </row>
    <row r="118" spans="1:7" ht="13.5" thickBot="1">
      <c r="A118" s="130"/>
      <c r="B118" s="125" t="str">
        <f>IF(Picks!B118="","",Picks!B118)</f>
        <v>Exeter</v>
      </c>
      <c r="C118" s="541">
        <f>IF(Picks!C118="","",Picks!C118)</f>
        <v>7</v>
      </c>
      <c r="D118" s="126">
        <f>IF(Picks!D118="","",Picks!D118)</f>
        <v>2.75</v>
      </c>
      <c r="E118" s="79" t="str">
        <f>IF(Picks!E118="","",Picks!E118)</f>
        <v>x</v>
      </c>
      <c r="F118" s="129" t="str">
        <f>IF(Picks!F118="","",Picks!F118)</f>
        <v/>
      </c>
      <c r="G118" s="44" t="str">
        <f>IF(Picks!G118="","",Picks!G118)</f>
        <v/>
      </c>
    </row>
    <row r="119" spans="1:7" ht="13.9" thickTop="1" thickBot="1">
      <c r="A119" s="112" t="str">
        <f>IF(Picks!A119="","",Picks!A119)</f>
        <v>Stephen Barr</v>
      </c>
      <c r="B119" s="107" t="str">
        <f>IF(Picks!B119="","",Picks!B119)</f>
        <v>Everton</v>
      </c>
      <c r="C119" s="540">
        <f>IF(Picks!C119="","",Picks!C119)</f>
        <v>7</v>
      </c>
      <c r="D119" s="108">
        <f>IF(Picks!D119="","",Picks!D119)</f>
        <v>2.4500000000000002</v>
      </c>
      <c r="E119" s="109" t="str">
        <f>IF(Picks!E119="","",Picks!E119)</f>
        <v>x</v>
      </c>
      <c r="F119" s="110">
        <f>IF(Picks!F119="","",Picks!F119)</f>
        <v>-4.8499999999999996</v>
      </c>
      <c r="G119" s="111">
        <f>IF(Picks!G119="","",Picks!G119)</f>
        <v>40.903750000000002</v>
      </c>
    </row>
    <row r="120" spans="1:7" ht="13.15">
      <c r="A120" s="112"/>
      <c r="B120" s="59" t="str">
        <f>IF(Picks!B120="","",Picks!B120)</f>
        <v>Spurs</v>
      </c>
      <c r="C120" s="540">
        <f>IF(Picks!C120="","",Picks!C120)</f>
        <v>7</v>
      </c>
      <c r="D120" s="44">
        <f>IF(Picks!D120="","",Picks!D120)</f>
        <v>2.15</v>
      </c>
      <c r="E120" s="79" t="str">
        <f>IF(Picks!E120="","",Picks!E120)</f>
        <v>√</v>
      </c>
      <c r="F120" s="129" t="str">
        <f>IF(Picks!F120="","",Picks!F120)</f>
        <v/>
      </c>
      <c r="G120" s="44" t="str">
        <f>IF(Picks!G120="","",Picks!G120)</f>
        <v/>
      </c>
    </row>
    <row r="121" spans="1:7" ht="13.5" thickBot="1">
      <c r="A121" s="130"/>
      <c r="B121" s="125" t="str">
        <f>IF(Picks!B121="","",Picks!B121)</f>
        <v>Bournemouth draw</v>
      </c>
      <c r="C121" s="541">
        <f>IF(Picks!C121="","",Picks!C121)</f>
        <v>7</v>
      </c>
      <c r="D121" s="126">
        <f>IF(Picks!D121="","",Picks!D121)</f>
        <v>3.5</v>
      </c>
      <c r="E121" s="79" t="str">
        <f>IF(Picks!E121="","",Picks!E121)</f>
        <v>x</v>
      </c>
      <c r="F121" s="129" t="str">
        <f>IF(Picks!F121="","",Picks!F121)</f>
        <v/>
      </c>
      <c r="G121" s="44" t="str">
        <f>IF(Picks!G121="","",Picks!G121)</f>
        <v/>
      </c>
    </row>
    <row r="122" spans="1:7" ht="13.9" thickTop="1" thickBot="1">
      <c r="A122" s="112" t="str">
        <f>IF(Picks!A122="","",Picks!A122)</f>
        <v>Steve Carter</v>
      </c>
      <c r="B122" s="107" t="str">
        <f>IF(Picks!B122="","",Picks!B122)</f>
        <v>Bournemouth</v>
      </c>
      <c r="C122" s="540">
        <f>IF(Picks!C122="","",Picks!C122)</f>
        <v>7</v>
      </c>
      <c r="D122" s="108">
        <f>IF(Picks!D122="","",Picks!D122)</f>
        <v>2.4</v>
      </c>
      <c r="E122" s="109" t="str">
        <f>IF(Picks!E122="","",Picks!E122)</f>
        <v>√</v>
      </c>
      <c r="F122" s="110">
        <f>IF(Picks!F122="","",Picks!F122)</f>
        <v>2.7100000000000009</v>
      </c>
      <c r="G122" s="111">
        <f>IF(Picks!G122="","",Picks!G122)</f>
        <v>28.9495</v>
      </c>
    </row>
    <row r="123" spans="1:7" ht="13.15">
      <c r="A123" s="112"/>
      <c r="B123" s="59" t="str">
        <f>IF(Picks!B123="","",Picks!B123)</f>
        <v>Everton</v>
      </c>
      <c r="C123" s="540">
        <f>IF(Picks!C123="","",Picks!C123)</f>
        <v>7</v>
      </c>
      <c r="D123" s="44">
        <f>IF(Picks!D123="","",Picks!D123)</f>
        <v>2.4500000000000002</v>
      </c>
      <c r="E123" s="79" t="str">
        <f>IF(Picks!E123="","",Picks!E123)</f>
        <v>x</v>
      </c>
      <c r="F123" s="129" t="str">
        <f>IF(Picks!F123="","",Picks!F123)</f>
        <v/>
      </c>
      <c r="G123" s="44" t="str">
        <f>IF(Picks!G123="","",Picks!G123)</f>
        <v/>
      </c>
    </row>
    <row r="124" spans="1:7" ht="13.5" thickBot="1">
      <c r="A124" s="130"/>
      <c r="B124" s="125" t="str">
        <f>IF(Picks!B124="","",Picks!B124)</f>
        <v>Spurs</v>
      </c>
      <c r="C124" s="541">
        <f>IF(Picks!C124="","",Picks!C124)</f>
        <v>7</v>
      </c>
      <c r="D124" s="126">
        <f>IF(Picks!D124="","",Picks!D124)</f>
        <v>2.15</v>
      </c>
      <c r="E124" s="79" t="str">
        <f>IF(Picks!E124="","",Picks!E124)</f>
        <v>√</v>
      </c>
      <c r="F124" s="129" t="str">
        <f>IF(Picks!F124="","",Picks!F124)</f>
        <v/>
      </c>
      <c r="G124" s="44" t="str">
        <f>IF(Picks!G124="","",Picks!G124)</f>
        <v/>
      </c>
    </row>
    <row r="125" spans="1:7" ht="13.9" thickTop="1" thickBot="1">
      <c r="A125" s="112" t="str">
        <f>IF(Picks!A125="","",Picks!A125)</f>
        <v>Steve Waterhouse</v>
      </c>
      <c r="B125" s="107" t="str">
        <f>IF(Picks!B125="","",Picks!B125)</f>
        <v>West Brom</v>
      </c>
      <c r="C125" s="540">
        <f>IF(Picks!C125="","",Picks!C125)</f>
        <v>7</v>
      </c>
      <c r="D125" s="108">
        <f>IF(Picks!D125="","",Picks!D125)</f>
        <v>1.8</v>
      </c>
      <c r="E125" s="109" t="str">
        <f>IF(Picks!E125="","",Picks!E125)</f>
        <v>x</v>
      </c>
      <c r="F125" s="110">
        <f>IF(Picks!F125="","",Picks!F125)</f>
        <v>-4.9000000000000004</v>
      </c>
      <c r="G125" s="111">
        <f>IF(Picks!G125="","",Picks!G125)</f>
        <v>17.25090909090909</v>
      </c>
    </row>
    <row r="126" spans="1:7" ht="13.15">
      <c r="A126" s="112"/>
      <c r="B126" s="59" t="str">
        <f>IF(Picks!B126="","",Picks!B126)</f>
        <v>Leicester</v>
      </c>
      <c r="C126" s="540">
        <f>IF(Picks!C126="","",Picks!C126)</f>
        <v>7</v>
      </c>
      <c r="D126" s="44">
        <f>IF(Picks!D126="","",Picks!D126)</f>
        <v>1.9090909090909092</v>
      </c>
      <c r="E126" s="79" t="str">
        <f>IF(Picks!E126="","",Picks!E126)</f>
        <v>x</v>
      </c>
      <c r="F126" s="129" t="str">
        <f>IF(Picks!F126="","",Picks!F126)</f>
        <v/>
      </c>
      <c r="G126" s="44" t="str">
        <f>IF(Picks!G126="","",Picks!G126)</f>
        <v/>
      </c>
    </row>
    <row r="127" spans="1:7" ht="13.5" thickBot="1">
      <c r="A127" s="130"/>
      <c r="B127" s="125" t="str">
        <f>IF(Picks!B127="","",Picks!B127)</f>
        <v>Bristol C</v>
      </c>
      <c r="C127" s="541">
        <f>IF(Picks!C127="","",Picks!C127)</f>
        <v>7</v>
      </c>
      <c r="D127" s="126">
        <f>IF(Picks!D127="","",Picks!D127)</f>
        <v>2.1</v>
      </c>
      <c r="E127" s="79" t="str">
        <f>IF(Picks!E127="","",Picks!E127)</f>
        <v>√</v>
      </c>
      <c r="F127" s="129" t="str">
        <f>IF(Picks!F127="","",Picks!F127)</f>
        <v/>
      </c>
      <c r="G127" s="44" t="str">
        <f>IF(Picks!G127="","",Picks!G127)</f>
        <v/>
      </c>
    </row>
    <row r="128" spans="1:7" ht="13.9" thickTop="1" thickBot="1">
      <c r="A128" s="112" t="str">
        <f>IF(Picks!A128="","",Picks!A128)</f>
        <v>Tom Robinson</v>
      </c>
      <c r="B128" s="107" t="str">
        <f>IF(Picks!B128="","",Picks!B128)</f>
        <v>Newcastle</v>
      </c>
      <c r="C128" s="540">
        <f>IF(Picks!C128="","",Picks!C128)</f>
        <v>7</v>
      </c>
      <c r="D128" s="108">
        <f>IF(Picks!D128="","",Picks!D128)</f>
        <v>1.4444444444444444</v>
      </c>
      <c r="E128" s="109" t="str">
        <f>IF(Picks!E128="","",Picks!E128)</f>
        <v>√</v>
      </c>
      <c r="F128" s="110">
        <f>IF(Picks!F128="","",Picks!F128)</f>
        <v>0.55555555555555536</v>
      </c>
      <c r="G128" s="111">
        <f>IF(Picks!G128="","",Picks!G128)</f>
        <v>15.333333333333336</v>
      </c>
    </row>
    <row r="129" spans="1:7" ht="13.15">
      <c r="A129" s="112"/>
      <c r="B129" s="59" t="str">
        <f>IF(Picks!B129="","",Picks!B129)</f>
        <v>Oldham</v>
      </c>
      <c r="C129" s="540">
        <f>IF(Picks!C129="","",Picks!C129)</f>
        <v>7</v>
      </c>
      <c r="D129" s="44">
        <f>IF(Picks!D129="","",Picks!D129)</f>
        <v>2.5</v>
      </c>
      <c r="E129" s="79" t="str">
        <f>IF(Picks!E129="","",Picks!E129)</f>
        <v>√</v>
      </c>
      <c r="F129" s="129" t="str">
        <f>IF(Picks!F129="","",Picks!F129)</f>
        <v/>
      </c>
      <c r="G129" s="44" t="str">
        <f>IF(Picks!G129="","",Picks!G129)</f>
        <v/>
      </c>
    </row>
    <row r="130" spans="1:7" ht="13.5" thickBot="1">
      <c r="A130" s="130"/>
      <c r="B130" s="125" t="str">
        <f>IF(Picks!B130="","",Picks!B130)</f>
        <v>Coventry</v>
      </c>
      <c r="C130" s="541">
        <f>IF(Picks!C130="","",Picks!C130)</f>
        <v>7</v>
      </c>
      <c r="D130" s="126">
        <f>IF(Picks!D130="","",Picks!D130)</f>
        <v>1.7272727272727273</v>
      </c>
      <c r="E130" s="79" t="str">
        <f>IF(Picks!E130="","",Picks!E130)</f>
        <v>x</v>
      </c>
      <c r="F130" s="129" t="str">
        <f>IF(Picks!F130="","",Picks!F130)</f>
        <v/>
      </c>
      <c r="G130" s="44" t="str">
        <f>IF(Picks!G130="","",Picks!G130)</f>
        <v/>
      </c>
    </row>
    <row r="131" spans="1:7" ht="13.9" thickTop="1" thickBot="1">
      <c r="A131" s="112" t="str">
        <f>IF(Picks!A131="","",Picks!A131)</f>
        <v>Vinny Topping</v>
      </c>
      <c r="B131" s="107" t="str">
        <f>IF(Picks!B131="","",Picks!B131)</f>
        <v>Cardiff</v>
      </c>
      <c r="C131" s="540">
        <f>IF(Picks!C131="","",Picks!C131)</f>
        <v>7</v>
      </c>
      <c r="D131" s="108">
        <f>IF(Picks!D131="","",Picks!D131)</f>
        <v>2.5</v>
      </c>
      <c r="E131" s="109" t="str">
        <f>IF(Picks!E131="","",Picks!E131)</f>
        <v>x</v>
      </c>
      <c r="F131" s="110">
        <f>IF(Picks!F131="","",Picks!F131)</f>
        <v>-7</v>
      </c>
      <c r="G131" s="111">
        <f>IF(Picks!G131="","",Picks!G131)</f>
        <v>41.875</v>
      </c>
    </row>
    <row r="132" spans="1:7" ht="13.15">
      <c r="A132" s="112"/>
      <c r="B132" s="59" t="str">
        <f>IF(Picks!B132="","",Picks!B132)</f>
        <v>Doncaster</v>
      </c>
      <c r="C132" s="540">
        <f>IF(Picks!C132="","",Picks!C132)</f>
        <v>7</v>
      </c>
      <c r="D132" s="44">
        <f>IF(Picks!D132="","",Picks!D132)</f>
        <v>2.75</v>
      </c>
      <c r="E132" s="79" t="str">
        <f>IF(Picks!E132="","",Picks!E132)</f>
        <v>x</v>
      </c>
      <c r="F132" s="129" t="str">
        <f>IF(Picks!F132="","",Picks!F132)</f>
        <v/>
      </c>
      <c r="G132" s="44" t="str">
        <f>IF(Picks!G132="","",Picks!G132)</f>
        <v/>
      </c>
    </row>
    <row r="133" spans="1:7" ht="13.5" thickBot="1">
      <c r="A133" s="130"/>
      <c r="B133" s="125" t="str">
        <f>IF(Picks!B133="","",Picks!B133)</f>
        <v>Stevenage</v>
      </c>
      <c r="C133" s="541">
        <f>IF(Picks!C133="","",Picks!C133)</f>
        <v>7</v>
      </c>
      <c r="D133" s="126">
        <f>IF(Picks!D133="","",Picks!D133)</f>
        <v>2.8</v>
      </c>
      <c r="E133" s="79" t="str">
        <f>IF(Picks!E133="","",Picks!E133)</f>
        <v>x</v>
      </c>
      <c r="F133" s="129" t="str">
        <f>IF(Picks!F133="","",Picks!F133)</f>
        <v/>
      </c>
      <c r="G133" s="44" t="str">
        <f>IF(Picks!G133="","",Picks!G133)</f>
        <v/>
      </c>
    </row>
    <row r="134" spans="1:7" ht="13.15" thickTop="1">
      <c r="E134" s="611"/>
      <c r="F134" s="611"/>
      <c r="G134" s="611"/>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25"/>
    </sheetView>
  </sheetViews>
  <sheetFormatPr defaultRowHeight="12.75"/>
  <cols>
    <col min="1" max="1" width="6.265625" style="559"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57">
        <v>38</v>
      </c>
      <c r="B1" s="317">
        <v>2021</v>
      </c>
      <c r="C1" s="466" t="s">
        <v>489</v>
      </c>
      <c r="D1" s="466"/>
      <c r="E1" s="142"/>
      <c r="F1" s="142"/>
      <c r="G1" s="142"/>
      <c r="H1" s="142"/>
      <c r="I1" s="142"/>
      <c r="J1" s="142"/>
      <c r="K1" s="142"/>
      <c r="L1" s="142"/>
      <c r="M1" s="76"/>
      <c r="N1" s="76"/>
      <c r="O1" s="76"/>
      <c r="P1" s="76"/>
      <c r="Q1" s="76"/>
      <c r="R1" s="76"/>
      <c r="S1" s="76"/>
    </row>
    <row r="2" spans="1:22">
      <c r="A2" s="558"/>
      <c r="B2" s="77"/>
      <c r="C2" s="142"/>
      <c r="D2" s="142"/>
      <c r="E2" s="142"/>
      <c r="F2" s="142"/>
      <c r="G2" s="142"/>
      <c r="H2" s="142"/>
      <c r="I2" s="142"/>
      <c r="J2" s="142"/>
      <c r="K2" s="142"/>
      <c r="L2" s="142"/>
      <c r="M2" s="76"/>
      <c r="N2" s="76"/>
      <c r="O2" s="76"/>
      <c r="P2" s="76"/>
      <c r="Q2" s="76"/>
      <c r="R2" s="76"/>
      <c r="S2" s="76"/>
    </row>
    <row r="3" spans="1:22" ht="35.1" customHeight="1">
      <c r="A3" s="558"/>
      <c r="B3" s="729" t="str">
        <f>CONCATENATE(CurrentSeason," - ",SeasonTitle)</f>
        <v>PL46 - Autumn 26</v>
      </c>
      <c r="C3" s="730"/>
      <c r="D3" s="730"/>
      <c r="E3" s="730"/>
      <c r="F3" s="731"/>
      <c r="G3" s="141"/>
      <c r="H3" s="141"/>
      <c r="I3" s="141"/>
      <c r="J3" s="141"/>
      <c r="L3" s="141"/>
      <c r="M3" s="76"/>
      <c r="N3" s="76"/>
      <c r="O3" s="76"/>
      <c r="P3" s="76"/>
      <c r="Q3" s="76"/>
      <c r="R3" s="76"/>
    </row>
    <row r="4" spans="1:22" s="205" customFormat="1" ht="29.85" customHeight="1">
      <c r="A4" s="558"/>
      <c r="B4" s="477" t="s">
        <v>496</v>
      </c>
      <c r="C4" s="437" t="s">
        <v>466</v>
      </c>
      <c r="D4" s="437" t="s">
        <v>499</v>
      </c>
      <c r="E4" s="437" t="s">
        <v>500</v>
      </c>
      <c r="F4" s="438" t="s">
        <v>501</v>
      </c>
      <c r="G4" s="608" t="s">
        <v>525</v>
      </c>
      <c r="H4" s="608" t="s">
        <v>523</v>
      </c>
      <c r="I4" s="608" t="s">
        <v>522</v>
      </c>
      <c r="J4" s="608" t="s">
        <v>523</v>
      </c>
      <c r="K4" s="608" t="s">
        <v>526</v>
      </c>
      <c r="L4" s="608" t="s">
        <v>523</v>
      </c>
      <c r="M4" s="139"/>
      <c r="N4" s="139"/>
      <c r="O4" s="139"/>
      <c r="P4" s="139"/>
      <c r="Q4" s="139"/>
    </row>
    <row r="5" spans="1:22" ht="20.100000000000001" customHeight="1">
      <c r="A5" s="558"/>
      <c r="B5" s="585">
        <v>45885</v>
      </c>
      <c r="C5" s="586">
        <v>1</v>
      </c>
      <c r="D5" s="586"/>
      <c r="E5" s="587"/>
      <c r="F5" s="587" t="s">
        <v>534</v>
      </c>
      <c r="G5" s="607">
        <f>B5-12</f>
        <v>45873</v>
      </c>
      <c r="H5" s="607" t="s">
        <v>524</v>
      </c>
      <c r="I5" s="607">
        <f>B5-7</f>
        <v>45878</v>
      </c>
      <c r="J5" s="607" t="s">
        <v>524</v>
      </c>
      <c r="K5" s="607">
        <f>B5-5</f>
        <v>45880</v>
      </c>
      <c r="L5" s="607" t="s">
        <v>524</v>
      </c>
      <c r="M5" s="76"/>
      <c r="N5" s="76"/>
      <c r="O5" s="76"/>
      <c r="P5" s="76"/>
      <c r="Q5" s="76"/>
      <c r="V5" t="s">
        <v>425</v>
      </c>
    </row>
    <row r="6" spans="1:22" ht="20.100000000000001" customHeight="1">
      <c r="A6" s="558"/>
      <c r="B6" s="585">
        <v>45892</v>
      </c>
      <c r="C6" s="586">
        <v>2</v>
      </c>
      <c r="D6" s="586"/>
      <c r="E6" s="587" t="s">
        <v>565</v>
      </c>
      <c r="F6" s="587" t="s">
        <v>534</v>
      </c>
      <c r="G6" s="607">
        <f t="shared" ref="G6:G24" si="0">B6-12</f>
        <v>45880</v>
      </c>
      <c r="H6" s="607" t="s">
        <v>524</v>
      </c>
      <c r="I6" s="607">
        <f t="shared" ref="I6:I24" si="1">B6-7</f>
        <v>45885</v>
      </c>
      <c r="J6" s="607" t="s">
        <v>524</v>
      </c>
      <c r="K6" s="607">
        <f t="shared" ref="K6:K24" si="2">B6-5</f>
        <v>45887</v>
      </c>
      <c r="L6" s="607" t="s">
        <v>524</v>
      </c>
      <c r="M6" s="76"/>
      <c r="N6" s="76"/>
      <c r="O6" s="76"/>
      <c r="P6" s="76"/>
      <c r="Q6" s="76"/>
      <c r="V6" t="s">
        <v>414</v>
      </c>
    </row>
    <row r="7" spans="1:22" ht="20.100000000000001" customHeight="1">
      <c r="A7" s="558"/>
      <c r="B7" s="585">
        <v>45899</v>
      </c>
      <c r="C7" s="588">
        <v>3</v>
      </c>
      <c r="D7" s="588"/>
      <c r="E7" s="587" t="s">
        <v>566</v>
      </c>
      <c r="F7" s="587" t="s">
        <v>534</v>
      </c>
      <c r="G7" s="607">
        <f t="shared" si="0"/>
        <v>45887</v>
      </c>
      <c r="H7" s="607" t="s">
        <v>524</v>
      </c>
      <c r="I7" s="607">
        <f t="shared" si="1"/>
        <v>45892</v>
      </c>
      <c r="J7" s="607" t="s">
        <v>524</v>
      </c>
      <c r="K7" s="607">
        <f t="shared" si="2"/>
        <v>45894</v>
      </c>
      <c r="L7" s="607" t="s">
        <v>524</v>
      </c>
      <c r="M7" s="76"/>
      <c r="N7" s="76"/>
      <c r="O7" s="76"/>
      <c r="P7" s="76"/>
      <c r="Q7" s="76"/>
      <c r="V7" t="s">
        <v>415</v>
      </c>
    </row>
    <row r="8" spans="1:22" ht="20.100000000000001" customHeight="1">
      <c r="A8" s="558"/>
      <c r="B8" s="585">
        <v>45906</v>
      </c>
      <c r="C8" s="586">
        <v>4</v>
      </c>
      <c r="D8" s="586"/>
      <c r="E8" s="589"/>
      <c r="F8" s="587" t="s">
        <v>415</v>
      </c>
      <c r="G8" s="607">
        <f t="shared" si="0"/>
        <v>45894</v>
      </c>
      <c r="H8" s="607" t="s">
        <v>524</v>
      </c>
      <c r="I8" s="607">
        <f t="shared" si="1"/>
        <v>45899</v>
      </c>
      <c r="J8" s="607" t="s">
        <v>524</v>
      </c>
      <c r="K8" s="607">
        <f t="shared" si="2"/>
        <v>45901</v>
      </c>
      <c r="L8" s="607" t="s">
        <v>524</v>
      </c>
      <c r="M8" s="76"/>
      <c r="N8" s="76"/>
      <c r="O8" s="76"/>
      <c r="P8" s="76"/>
      <c r="Q8" s="76"/>
      <c r="V8" t="s">
        <v>437</v>
      </c>
    </row>
    <row r="9" spans="1:22" ht="20.100000000000001" customHeight="1">
      <c r="A9" s="558"/>
      <c r="B9" s="585">
        <v>45913</v>
      </c>
      <c r="C9" s="586" t="s">
        <v>508</v>
      </c>
      <c r="D9" s="586"/>
      <c r="E9" s="587" t="s">
        <v>567</v>
      </c>
      <c r="F9" s="587" t="s">
        <v>534</v>
      </c>
      <c r="G9" s="607">
        <f t="shared" si="0"/>
        <v>45901</v>
      </c>
      <c r="H9" s="607" t="s">
        <v>524</v>
      </c>
      <c r="I9" s="607">
        <f t="shared" si="1"/>
        <v>45906</v>
      </c>
      <c r="J9" s="607" t="s">
        <v>524</v>
      </c>
      <c r="K9" s="607">
        <f t="shared" si="2"/>
        <v>45908</v>
      </c>
      <c r="L9" s="607" t="s">
        <v>524</v>
      </c>
      <c r="M9" s="76"/>
      <c r="N9" s="76"/>
      <c r="O9" s="76"/>
      <c r="P9" s="76"/>
      <c r="Q9" s="76"/>
    </row>
    <row r="10" spans="1:22" ht="20.100000000000001" customHeight="1">
      <c r="A10" s="558"/>
      <c r="B10" s="585">
        <v>45920</v>
      </c>
      <c r="C10" s="586" t="s">
        <v>509</v>
      </c>
      <c r="D10" s="586"/>
      <c r="E10" s="587" t="s">
        <v>132</v>
      </c>
      <c r="F10" s="587" t="s">
        <v>534</v>
      </c>
      <c r="G10" s="607">
        <f t="shared" si="0"/>
        <v>45908</v>
      </c>
      <c r="H10" s="607" t="s">
        <v>524</v>
      </c>
      <c r="I10" s="607">
        <f t="shared" si="1"/>
        <v>45913</v>
      </c>
      <c r="J10" s="607" t="s">
        <v>524</v>
      </c>
      <c r="K10" s="607">
        <f t="shared" si="2"/>
        <v>45915</v>
      </c>
      <c r="L10" s="607" t="s">
        <v>524</v>
      </c>
      <c r="M10" s="76"/>
      <c r="N10" s="76"/>
      <c r="O10" s="76"/>
      <c r="P10" s="76"/>
      <c r="Q10" s="76"/>
    </row>
    <row r="11" spans="1:22" ht="20.100000000000001" customHeight="1">
      <c r="A11" s="558"/>
      <c r="B11" s="585">
        <v>45927</v>
      </c>
      <c r="C11" s="586" t="s">
        <v>510</v>
      </c>
      <c r="D11" s="586"/>
      <c r="E11" s="587"/>
      <c r="F11" s="587" t="s">
        <v>534</v>
      </c>
      <c r="G11" s="607">
        <f t="shared" si="0"/>
        <v>45915</v>
      </c>
      <c r="H11" s="607" t="s">
        <v>524</v>
      </c>
      <c r="I11" s="607">
        <f t="shared" si="1"/>
        <v>45920</v>
      </c>
      <c r="J11" s="607" t="s">
        <v>524</v>
      </c>
      <c r="K11" s="607">
        <f t="shared" si="2"/>
        <v>45922</v>
      </c>
      <c r="L11" s="607" t="s">
        <v>524</v>
      </c>
      <c r="M11" s="76"/>
      <c r="N11" s="76"/>
      <c r="O11" s="76"/>
      <c r="P11" s="76"/>
      <c r="Q11" s="76"/>
    </row>
    <row r="12" spans="1:22" ht="20.100000000000001" customHeight="1">
      <c r="A12" s="558"/>
      <c r="B12" s="585">
        <v>45934</v>
      </c>
      <c r="C12" s="586" t="s">
        <v>511</v>
      </c>
      <c r="D12" s="586"/>
      <c r="E12" s="587" t="s">
        <v>133</v>
      </c>
      <c r="F12" s="587" t="s">
        <v>534</v>
      </c>
      <c r="G12" s="607">
        <f t="shared" si="0"/>
        <v>45922</v>
      </c>
      <c r="H12" s="607" t="s">
        <v>524</v>
      </c>
      <c r="I12" s="607">
        <f t="shared" si="1"/>
        <v>45927</v>
      </c>
      <c r="J12" s="607" t="s">
        <v>524</v>
      </c>
      <c r="K12" s="607">
        <f t="shared" si="2"/>
        <v>45929</v>
      </c>
      <c r="L12" s="607" t="s">
        <v>524</v>
      </c>
      <c r="M12" s="76"/>
      <c r="N12" s="76"/>
      <c r="O12" s="76"/>
      <c r="P12" s="76"/>
      <c r="Q12" s="76"/>
    </row>
    <row r="13" spans="1:22" ht="20.100000000000001" customHeight="1">
      <c r="A13" s="558"/>
      <c r="B13" s="585">
        <v>45941</v>
      </c>
      <c r="C13" s="588" t="s">
        <v>512</v>
      </c>
      <c r="D13" s="588"/>
      <c r="E13" s="587" t="s">
        <v>134</v>
      </c>
      <c r="F13" s="587" t="s">
        <v>415</v>
      </c>
      <c r="G13" s="607">
        <f t="shared" si="0"/>
        <v>45929</v>
      </c>
      <c r="H13" s="607" t="s">
        <v>524</v>
      </c>
      <c r="I13" s="607">
        <f t="shared" si="1"/>
        <v>45934</v>
      </c>
      <c r="J13" s="607" t="s">
        <v>524</v>
      </c>
      <c r="K13" s="607">
        <f t="shared" si="2"/>
        <v>45936</v>
      </c>
      <c r="L13" s="607" t="s">
        <v>524</v>
      </c>
      <c r="M13" s="76"/>
      <c r="N13" s="76"/>
      <c r="O13" s="76"/>
      <c r="P13" s="76"/>
      <c r="Q13" s="76"/>
    </row>
    <row r="14" spans="1:22" ht="20.100000000000001" customHeight="1">
      <c r="A14" s="558"/>
      <c r="B14" s="585">
        <v>45948</v>
      </c>
      <c r="C14" s="586" t="s">
        <v>513</v>
      </c>
      <c r="D14" s="586"/>
      <c r="E14" s="587"/>
      <c r="F14" s="587" t="s">
        <v>534</v>
      </c>
      <c r="G14" s="607">
        <f t="shared" si="0"/>
        <v>45936</v>
      </c>
      <c r="H14" s="607" t="s">
        <v>524</v>
      </c>
      <c r="I14" s="607">
        <f t="shared" si="1"/>
        <v>45941</v>
      </c>
      <c r="J14" s="607" t="s">
        <v>524</v>
      </c>
      <c r="K14" s="607">
        <f t="shared" si="2"/>
        <v>45943</v>
      </c>
      <c r="L14" s="607" t="s">
        <v>524</v>
      </c>
      <c r="M14" s="76"/>
      <c r="N14" s="76"/>
      <c r="O14" s="76"/>
      <c r="P14" s="76"/>
      <c r="Q14" s="76"/>
    </row>
    <row r="15" spans="1:22" ht="20.100000000000001" customHeight="1">
      <c r="A15" s="558"/>
      <c r="B15" s="585">
        <v>45955</v>
      </c>
      <c r="C15" s="586" t="s">
        <v>514</v>
      </c>
      <c r="D15" s="586"/>
      <c r="E15" s="587" t="s">
        <v>135</v>
      </c>
      <c r="F15" s="587" t="s">
        <v>534</v>
      </c>
      <c r="G15" s="607">
        <f t="shared" si="0"/>
        <v>45943</v>
      </c>
      <c r="H15" s="607" t="s">
        <v>524</v>
      </c>
      <c r="I15" s="607">
        <f t="shared" si="1"/>
        <v>45948</v>
      </c>
      <c r="J15" s="607" t="s">
        <v>524</v>
      </c>
      <c r="K15" s="607">
        <f t="shared" si="2"/>
        <v>45950</v>
      </c>
      <c r="L15" s="607" t="s">
        <v>524</v>
      </c>
      <c r="M15" s="76"/>
      <c r="N15" s="76"/>
      <c r="O15" s="76"/>
      <c r="P15" s="76"/>
      <c r="Q15" s="76"/>
    </row>
    <row r="16" spans="1:22" ht="20.100000000000001" customHeight="1">
      <c r="A16" s="558"/>
      <c r="B16" s="585">
        <v>45962</v>
      </c>
      <c r="C16" s="586" t="s">
        <v>515</v>
      </c>
      <c r="D16" s="586"/>
      <c r="E16" s="587" t="s">
        <v>136</v>
      </c>
      <c r="F16" s="587" t="s">
        <v>568</v>
      </c>
      <c r="G16" s="607">
        <f t="shared" si="0"/>
        <v>45950</v>
      </c>
      <c r="H16" s="607" t="s">
        <v>524</v>
      </c>
      <c r="I16" s="607">
        <f t="shared" si="1"/>
        <v>45955</v>
      </c>
      <c r="J16" s="607" t="s">
        <v>524</v>
      </c>
      <c r="K16" s="607">
        <f t="shared" si="2"/>
        <v>45957</v>
      </c>
      <c r="L16" s="607" t="s">
        <v>524</v>
      </c>
      <c r="M16" s="76"/>
      <c r="N16" s="76"/>
      <c r="O16" s="76"/>
      <c r="P16" s="76"/>
      <c r="Q16" s="76"/>
    </row>
    <row r="17" spans="1:17" ht="20.100000000000001" customHeight="1">
      <c r="A17" s="558"/>
      <c r="B17" s="585">
        <v>45969</v>
      </c>
      <c r="C17" s="588" t="s">
        <v>516</v>
      </c>
      <c r="D17" s="588"/>
      <c r="E17" s="587"/>
      <c r="F17" s="587" t="s">
        <v>534</v>
      </c>
      <c r="G17" s="607">
        <f t="shared" si="0"/>
        <v>45957</v>
      </c>
      <c r="H17" s="607" t="s">
        <v>524</v>
      </c>
      <c r="I17" s="607">
        <f t="shared" si="1"/>
        <v>45962</v>
      </c>
      <c r="J17" s="607" t="s">
        <v>524</v>
      </c>
      <c r="K17" s="607">
        <f t="shared" si="2"/>
        <v>45964</v>
      </c>
      <c r="L17" s="607"/>
      <c r="M17" s="76"/>
      <c r="N17" s="76"/>
      <c r="O17" s="76"/>
      <c r="P17" s="76"/>
      <c r="Q17" s="76"/>
    </row>
    <row r="18" spans="1:17" ht="20.100000000000001" customHeight="1">
      <c r="A18" s="558"/>
      <c r="B18" s="585">
        <v>45976</v>
      </c>
      <c r="C18" s="586" t="s">
        <v>517</v>
      </c>
      <c r="D18" s="586"/>
      <c r="E18" s="587" t="s">
        <v>137</v>
      </c>
      <c r="F18" s="587" t="s">
        <v>534</v>
      </c>
      <c r="G18" s="607">
        <f t="shared" si="0"/>
        <v>45964</v>
      </c>
      <c r="H18" s="607" t="s">
        <v>524</v>
      </c>
      <c r="I18" s="607">
        <f t="shared" si="1"/>
        <v>45969</v>
      </c>
      <c r="J18" s="607"/>
      <c r="K18" s="607">
        <f t="shared" si="2"/>
        <v>45971</v>
      </c>
      <c r="L18" s="607"/>
      <c r="M18" s="76"/>
      <c r="N18" s="76"/>
      <c r="O18" s="76"/>
      <c r="P18" s="76"/>
      <c r="Q18" s="76"/>
    </row>
    <row r="19" spans="1:17" ht="20.100000000000001" customHeight="1">
      <c r="A19" s="558"/>
      <c r="B19" s="585">
        <v>45983</v>
      </c>
      <c r="C19" s="586" t="s">
        <v>518</v>
      </c>
      <c r="D19" s="586"/>
      <c r="E19" s="587" t="s">
        <v>539</v>
      </c>
      <c r="F19" s="587" t="s">
        <v>534</v>
      </c>
      <c r="G19" s="607">
        <f t="shared" si="0"/>
        <v>45971</v>
      </c>
      <c r="H19" s="607"/>
      <c r="I19" s="607">
        <f t="shared" si="1"/>
        <v>45976</v>
      </c>
      <c r="J19" s="607"/>
      <c r="K19" s="607">
        <f t="shared" si="2"/>
        <v>45978</v>
      </c>
      <c r="L19" s="607"/>
      <c r="M19" s="76"/>
      <c r="N19" s="76"/>
      <c r="O19" s="76"/>
      <c r="P19" s="76"/>
      <c r="Q19" s="76"/>
    </row>
    <row r="20" spans="1:17" ht="20.100000000000001" customHeight="1">
      <c r="A20" s="558"/>
      <c r="B20" s="585">
        <v>45990</v>
      </c>
      <c r="C20" s="586" t="s">
        <v>519</v>
      </c>
      <c r="D20" s="586"/>
      <c r="E20" s="587" t="s">
        <v>138</v>
      </c>
      <c r="F20" s="587" t="s">
        <v>534</v>
      </c>
      <c r="G20" s="607">
        <f t="shared" si="0"/>
        <v>45978</v>
      </c>
      <c r="H20" s="607"/>
      <c r="I20" s="607">
        <f t="shared" si="1"/>
        <v>45983</v>
      </c>
      <c r="J20" s="607"/>
      <c r="K20" s="607">
        <f t="shared" si="2"/>
        <v>45985</v>
      </c>
      <c r="L20" s="607"/>
      <c r="M20" s="76"/>
      <c r="N20" s="76"/>
      <c r="O20" s="76"/>
      <c r="P20" s="76"/>
      <c r="Q20" s="76"/>
    </row>
    <row r="21" spans="1:17" ht="20.100000000000001" customHeight="1">
      <c r="A21" s="558"/>
      <c r="B21" s="585">
        <v>45997</v>
      </c>
      <c r="C21" s="586" t="s">
        <v>497</v>
      </c>
      <c r="D21" s="586"/>
      <c r="E21" s="587" t="s">
        <v>540</v>
      </c>
      <c r="F21" s="587" t="s">
        <v>569</v>
      </c>
      <c r="G21" s="607">
        <f t="shared" si="0"/>
        <v>45985</v>
      </c>
      <c r="H21" s="607"/>
      <c r="I21" s="607">
        <f t="shared" si="1"/>
        <v>45990</v>
      </c>
      <c r="J21" s="607"/>
      <c r="K21" s="607">
        <f t="shared" si="2"/>
        <v>45992</v>
      </c>
      <c r="L21" s="607"/>
      <c r="M21" s="76"/>
      <c r="N21" s="76"/>
      <c r="O21" s="76"/>
      <c r="P21" s="76"/>
      <c r="Q21" s="76"/>
    </row>
    <row r="22" spans="1:17" ht="20.100000000000001" customHeight="1">
      <c r="A22" s="558"/>
      <c r="B22" s="585">
        <v>46004</v>
      </c>
      <c r="C22" s="586" t="s">
        <v>520</v>
      </c>
      <c r="D22" s="586"/>
      <c r="E22" s="587" t="s">
        <v>18</v>
      </c>
      <c r="F22" s="587" t="s">
        <v>534</v>
      </c>
      <c r="G22" s="607">
        <f t="shared" si="0"/>
        <v>45992</v>
      </c>
      <c r="H22" s="607"/>
      <c r="I22" s="607">
        <f t="shared" si="1"/>
        <v>45997</v>
      </c>
      <c r="J22" s="607"/>
      <c r="K22" s="607">
        <f t="shared" si="2"/>
        <v>45999</v>
      </c>
      <c r="L22" s="607"/>
      <c r="M22" s="76"/>
      <c r="N22" s="76"/>
      <c r="O22" s="76"/>
      <c r="P22" s="76"/>
      <c r="Q22" s="76"/>
    </row>
    <row r="23" spans="1:17" ht="20.100000000000001" customHeight="1">
      <c r="A23" s="558"/>
      <c r="B23" s="585">
        <v>46011</v>
      </c>
      <c r="C23" s="586" t="s">
        <v>521</v>
      </c>
      <c r="D23" s="586"/>
      <c r="E23" s="587" t="s">
        <v>541</v>
      </c>
      <c r="F23" s="587" t="s">
        <v>534</v>
      </c>
      <c r="G23" s="607">
        <f t="shared" si="0"/>
        <v>45999</v>
      </c>
      <c r="H23" s="607"/>
      <c r="I23" s="607">
        <f t="shared" si="1"/>
        <v>46004</v>
      </c>
      <c r="J23" s="607"/>
      <c r="K23" s="607">
        <f t="shared" si="2"/>
        <v>46006</v>
      </c>
      <c r="L23" s="607"/>
      <c r="M23" s="76"/>
      <c r="N23" s="76"/>
      <c r="O23" s="76"/>
      <c r="P23" s="76"/>
      <c r="Q23" s="76"/>
    </row>
    <row r="24" spans="1:17" ht="20.100000000000001" customHeight="1">
      <c r="A24" s="558"/>
      <c r="B24" s="585">
        <v>46018</v>
      </c>
      <c r="C24" s="586">
        <v>20</v>
      </c>
      <c r="D24" s="586"/>
      <c r="E24" s="587"/>
      <c r="F24" s="587" t="s">
        <v>534</v>
      </c>
      <c r="G24" s="607">
        <f t="shared" si="0"/>
        <v>46006</v>
      </c>
      <c r="H24" s="607"/>
      <c r="I24" s="607">
        <f t="shared" si="1"/>
        <v>46011</v>
      </c>
      <c r="J24" s="607"/>
      <c r="K24" s="607">
        <f t="shared" si="2"/>
        <v>46013</v>
      </c>
      <c r="L24" s="607"/>
      <c r="M24" s="76"/>
      <c r="N24" s="76"/>
      <c r="O24" s="76"/>
      <c r="P24" s="76"/>
      <c r="Q24" s="76"/>
    </row>
    <row r="25" spans="1:17" ht="20.100000000000001" customHeight="1">
      <c r="A25" s="558"/>
      <c r="B25" s="77"/>
      <c r="C25" s="142"/>
      <c r="D25" s="142"/>
      <c r="E25" s="574" t="s">
        <v>498</v>
      </c>
      <c r="F25" s="575" t="s">
        <v>495</v>
      </c>
      <c r="G25" s="609"/>
      <c r="H25" s="610"/>
      <c r="I25" s="610"/>
      <c r="J25" s="610"/>
      <c r="K25" s="610"/>
      <c r="L25" s="610"/>
      <c r="M25" s="76"/>
      <c r="N25" s="76"/>
      <c r="O25" s="76"/>
      <c r="P25" s="76"/>
      <c r="Q25" s="76"/>
    </row>
    <row r="26" spans="1:17">
      <c r="A26" s="558"/>
      <c r="B26" s="77"/>
      <c r="C26" s="142"/>
      <c r="D26" s="142"/>
      <c r="E26" s="142"/>
      <c r="F26" s="76"/>
      <c r="G26" s="76"/>
      <c r="H26" s="76"/>
      <c r="I26" s="76"/>
      <c r="J26" s="76"/>
      <c r="K26" s="76"/>
      <c r="L26" s="76"/>
      <c r="M26" s="76"/>
      <c r="N26" s="76"/>
      <c r="O26" s="76"/>
      <c r="P26" s="76"/>
      <c r="Q26" s="76"/>
    </row>
    <row r="27" spans="1:17">
      <c r="A27" s="558"/>
      <c r="B27" s="77"/>
      <c r="C27" s="142"/>
      <c r="D27" s="142"/>
      <c r="E27" s="142"/>
      <c r="F27" s="76"/>
      <c r="G27" s="76"/>
      <c r="H27" s="76"/>
      <c r="I27" s="76"/>
      <c r="J27" s="76"/>
      <c r="K27" s="76"/>
      <c r="L27" s="76"/>
      <c r="M27" s="76"/>
      <c r="N27" s="76"/>
      <c r="O27" s="76"/>
      <c r="P27" s="76"/>
      <c r="Q27" s="76"/>
    </row>
    <row r="28" spans="1:17">
      <c r="A28" s="558"/>
      <c r="B28" s="77"/>
      <c r="C28" s="142"/>
      <c r="D28" s="142"/>
      <c r="E28" s="142"/>
      <c r="F28" s="76"/>
      <c r="G28" s="76"/>
      <c r="H28" s="76"/>
      <c r="I28" s="76"/>
      <c r="J28" s="76"/>
      <c r="K28" s="76"/>
      <c r="L28" s="76"/>
      <c r="M28" s="76"/>
      <c r="N28" s="76"/>
      <c r="O28" s="76"/>
      <c r="P28" s="76"/>
      <c r="Q28" s="76"/>
    </row>
    <row r="29" spans="1:17">
      <c r="A29" s="558"/>
      <c r="B29" s="77"/>
      <c r="C29" s="142"/>
      <c r="D29" s="142"/>
      <c r="E29" s="142"/>
      <c r="F29" s="76"/>
      <c r="G29" s="76"/>
      <c r="H29" s="76"/>
      <c r="I29" s="76"/>
      <c r="J29" s="76"/>
      <c r="K29" s="76"/>
      <c r="L29" s="76"/>
      <c r="M29" s="76"/>
      <c r="N29" s="76"/>
      <c r="O29" s="76"/>
      <c r="P29" s="76"/>
      <c r="Q29" s="76"/>
    </row>
    <row r="30" spans="1:17">
      <c r="A30" s="558"/>
      <c r="B30" s="77"/>
      <c r="C30" s="142"/>
      <c r="D30" s="142"/>
      <c r="E30" s="142"/>
      <c r="F30" s="76"/>
      <c r="G30" s="76"/>
      <c r="H30" s="76"/>
      <c r="I30" s="76"/>
      <c r="J30" s="76"/>
      <c r="K30" s="76"/>
      <c r="L30" s="76"/>
      <c r="M30" s="76"/>
      <c r="N30" s="76"/>
      <c r="O30" s="76"/>
      <c r="P30" s="76"/>
      <c r="Q30" s="76"/>
    </row>
    <row r="31" spans="1:17">
      <c r="A31" s="558"/>
      <c r="B31" s="77"/>
      <c r="C31" s="142"/>
      <c r="D31" s="142"/>
      <c r="E31" s="142"/>
      <c r="F31" s="76"/>
      <c r="G31" s="76"/>
      <c r="H31" s="76"/>
      <c r="I31" s="76"/>
      <c r="J31" s="76"/>
      <c r="K31" s="76"/>
      <c r="L31" s="76"/>
      <c r="M31" s="76"/>
      <c r="N31" s="76"/>
      <c r="O31" s="76"/>
      <c r="P31" s="76"/>
      <c r="Q31" s="76"/>
    </row>
    <row r="32" spans="1:17">
      <c r="A32" s="558"/>
      <c r="B32" s="77"/>
      <c r="C32" s="142"/>
      <c r="D32" s="142"/>
      <c r="E32" s="142"/>
      <c r="F32" s="76"/>
      <c r="G32" s="76"/>
      <c r="H32" s="76"/>
      <c r="I32" s="76"/>
      <c r="J32" s="76"/>
      <c r="K32" s="76"/>
      <c r="L32" s="76"/>
      <c r="M32" s="76"/>
      <c r="N32" s="76"/>
      <c r="O32" s="76"/>
      <c r="P32" s="76"/>
      <c r="Q32" s="76"/>
    </row>
    <row r="33" spans="1:17">
      <c r="A33" s="558"/>
      <c r="B33" s="77"/>
      <c r="C33" s="142"/>
      <c r="D33" s="142"/>
      <c r="E33" s="142"/>
      <c r="F33" s="76"/>
      <c r="G33" s="76"/>
      <c r="H33" s="76"/>
      <c r="I33" s="76"/>
      <c r="J33" s="76"/>
      <c r="K33" s="76"/>
      <c r="L33" s="76"/>
      <c r="M33" s="76"/>
      <c r="N33" s="76"/>
      <c r="O33" s="76"/>
      <c r="P33" s="76"/>
      <c r="Q33" s="76"/>
    </row>
    <row r="34" spans="1:17">
      <c r="A34" s="558"/>
      <c r="B34" s="77"/>
      <c r="C34" s="142"/>
      <c r="D34" s="142"/>
      <c r="E34" s="142"/>
      <c r="F34" s="76"/>
      <c r="G34" s="76"/>
      <c r="H34" s="76"/>
      <c r="I34" s="76"/>
      <c r="J34" s="76"/>
      <c r="K34" s="76"/>
      <c r="L34" s="76"/>
      <c r="M34" s="76"/>
      <c r="N34" s="76"/>
      <c r="O34" s="76"/>
      <c r="P34" s="76"/>
      <c r="Q34" s="76"/>
    </row>
    <row r="35" spans="1:17">
      <c r="A35" s="558"/>
      <c r="B35" s="77"/>
      <c r="C35" s="142"/>
      <c r="D35" s="142"/>
      <c r="E35" s="142"/>
      <c r="F35" s="76"/>
      <c r="G35" s="76"/>
      <c r="H35" s="76"/>
      <c r="I35" s="76"/>
      <c r="J35" s="76"/>
      <c r="K35" s="76"/>
      <c r="L35" s="76"/>
      <c r="M35" s="76"/>
      <c r="N35" s="76"/>
      <c r="O35" s="76"/>
      <c r="P35" s="76"/>
      <c r="Q35" s="76"/>
    </row>
    <row r="36" spans="1:17">
      <c r="A36" s="558"/>
      <c r="B36" s="77"/>
      <c r="C36" s="142"/>
      <c r="D36" s="142"/>
      <c r="E36" s="142"/>
      <c r="F36" s="76"/>
      <c r="G36" s="76"/>
      <c r="H36" s="76"/>
      <c r="I36" s="76"/>
      <c r="J36" s="76"/>
      <c r="K36" s="76"/>
      <c r="L36" s="76"/>
      <c r="M36" s="76"/>
      <c r="N36" s="76"/>
      <c r="O36" s="76"/>
      <c r="P36" s="76"/>
      <c r="Q36" s="76"/>
    </row>
    <row r="37" spans="1:17">
      <c r="A37" s="558"/>
      <c r="B37" s="77"/>
      <c r="C37" s="142"/>
      <c r="D37" s="142"/>
      <c r="E37" s="142"/>
      <c r="F37" s="76"/>
      <c r="G37" s="76"/>
      <c r="H37" s="76"/>
      <c r="I37" s="76"/>
      <c r="J37" s="76"/>
      <c r="K37" s="76"/>
      <c r="L37" s="76"/>
      <c r="M37" s="76"/>
      <c r="N37" s="76"/>
      <c r="O37" s="76"/>
      <c r="P37" s="76"/>
      <c r="Q37" s="76"/>
    </row>
    <row r="38" spans="1:17">
      <c r="A38" s="558"/>
      <c r="B38" s="77"/>
      <c r="C38" s="142"/>
      <c r="D38" s="142"/>
      <c r="E38" s="142"/>
      <c r="F38" s="76"/>
      <c r="G38" s="76"/>
      <c r="H38" s="76"/>
      <c r="I38" s="76"/>
      <c r="J38" s="76"/>
      <c r="K38" s="76"/>
      <c r="L38" s="76"/>
      <c r="M38" s="76"/>
      <c r="N38" s="76"/>
      <c r="O38" s="76"/>
      <c r="P38" s="76"/>
      <c r="Q38" s="76"/>
    </row>
    <row r="39" spans="1:17">
      <c r="A39" s="558"/>
      <c r="B39" s="77"/>
      <c r="C39" s="142"/>
      <c r="D39" s="142"/>
      <c r="E39" s="142"/>
      <c r="F39" s="76"/>
      <c r="G39" s="76"/>
      <c r="H39" s="76"/>
      <c r="I39" s="76"/>
      <c r="J39" s="76"/>
      <c r="K39" s="76"/>
      <c r="L39" s="76"/>
      <c r="M39" s="76"/>
      <c r="N39" s="76"/>
      <c r="O39" s="76"/>
      <c r="P39" s="76"/>
      <c r="Q39" s="76"/>
    </row>
    <row r="40" spans="1:17">
      <c r="A40" s="558"/>
      <c r="B40" s="77"/>
      <c r="C40" s="142"/>
      <c r="D40" s="142"/>
      <c r="E40" s="142"/>
      <c r="F40" s="76"/>
      <c r="G40" s="76"/>
      <c r="H40" s="76"/>
      <c r="I40" s="76"/>
      <c r="J40" s="76"/>
      <c r="K40" s="76"/>
      <c r="L40" s="76"/>
      <c r="M40" s="76"/>
      <c r="N40" s="76"/>
      <c r="O40" s="76"/>
      <c r="P40" s="76"/>
      <c r="Q40" s="76"/>
    </row>
    <row r="41" spans="1:17">
      <c r="A41" s="558"/>
      <c r="B41" s="77"/>
      <c r="C41" s="142"/>
      <c r="D41" s="142"/>
      <c r="E41" s="142"/>
      <c r="F41" s="76"/>
      <c r="G41" s="76"/>
      <c r="H41" s="76"/>
      <c r="I41" s="76"/>
      <c r="J41" s="76"/>
      <c r="K41" s="76"/>
      <c r="L41" s="76"/>
      <c r="M41" s="76"/>
      <c r="N41" s="76"/>
      <c r="O41" s="76"/>
      <c r="P41" s="76"/>
      <c r="Q41" s="76"/>
    </row>
    <row r="42" spans="1:17">
      <c r="A42" s="558"/>
      <c r="B42" s="77"/>
      <c r="C42" s="142"/>
      <c r="D42" s="142"/>
      <c r="E42" s="142"/>
      <c r="F42" s="76"/>
      <c r="G42" s="76"/>
      <c r="H42" s="76"/>
      <c r="I42" s="76"/>
      <c r="J42" s="76"/>
      <c r="K42" s="76"/>
      <c r="L42" s="76"/>
      <c r="M42" s="76"/>
      <c r="N42" s="76"/>
      <c r="O42" s="76"/>
      <c r="P42" s="76"/>
      <c r="Q42" s="76"/>
    </row>
    <row r="43" spans="1:17">
      <c r="A43" s="558"/>
      <c r="B43" s="77"/>
      <c r="C43" s="142"/>
      <c r="D43" s="142"/>
      <c r="E43" s="142"/>
      <c r="F43" s="76"/>
      <c r="G43" s="76"/>
      <c r="H43" s="76"/>
      <c r="I43" s="76"/>
      <c r="J43" s="76"/>
      <c r="K43" s="76"/>
      <c r="L43" s="76"/>
      <c r="M43" s="76"/>
      <c r="N43" s="76"/>
      <c r="O43" s="76"/>
      <c r="P43" s="76"/>
      <c r="Q43" s="76"/>
    </row>
    <row r="44" spans="1:17">
      <c r="A44" s="558"/>
      <c r="B44" s="77"/>
      <c r="C44" s="142"/>
      <c r="D44" s="142"/>
      <c r="E44" s="142"/>
      <c r="F44" s="76"/>
      <c r="G44" s="76"/>
      <c r="H44" s="76"/>
      <c r="I44" s="76"/>
      <c r="J44" s="76"/>
      <c r="K44" s="76"/>
      <c r="L44" s="76"/>
      <c r="M44" s="76"/>
      <c r="N44" s="76"/>
      <c r="O44" s="76"/>
      <c r="P44" s="76"/>
      <c r="Q44" s="76"/>
    </row>
    <row r="45" spans="1:17">
      <c r="A45" s="558"/>
      <c r="B45" s="77"/>
      <c r="C45" s="142"/>
      <c r="D45" s="142"/>
      <c r="E45" s="142"/>
      <c r="F45" s="76"/>
      <c r="G45" s="76"/>
      <c r="H45" s="76"/>
      <c r="I45" s="76"/>
      <c r="J45" s="76"/>
      <c r="K45" s="76"/>
      <c r="L45" s="76"/>
      <c r="M45" s="76"/>
      <c r="N45" s="76"/>
      <c r="O45" s="76"/>
      <c r="P45" s="76"/>
      <c r="Q45" s="76"/>
    </row>
    <row r="46" spans="1:17">
      <c r="A46" s="558"/>
      <c r="B46" s="77"/>
      <c r="C46" s="142"/>
      <c r="D46" s="142"/>
      <c r="E46" s="142"/>
      <c r="F46" s="76"/>
      <c r="G46" s="76"/>
      <c r="H46" s="76"/>
      <c r="I46" s="76"/>
      <c r="J46" s="76"/>
      <c r="K46" s="76"/>
      <c r="L46" s="76"/>
      <c r="M46" s="76"/>
      <c r="N46" s="76"/>
      <c r="O46" s="76"/>
      <c r="P46" s="76"/>
      <c r="Q46" s="76"/>
    </row>
    <row r="47" spans="1:17">
      <c r="A47" s="558"/>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09" zoomScaleNormal="100" workbookViewId="0">
      <selection activeCell="J139" sqref="J139"/>
    </sheetView>
  </sheetViews>
  <sheetFormatPr defaultRowHeight="12.75"/>
  <cols>
    <col min="1" max="1" width="9" style="4"/>
    <col min="2" max="2" width="12.59765625" style="15" customWidth="1"/>
    <col min="3" max="3" width="12.59765625" style="470"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470</v>
      </c>
      <c r="B1" s="90" t="s">
        <v>30</v>
      </c>
      <c r="C1" s="469"/>
      <c r="D1" s="58" t="s">
        <v>144</v>
      </c>
      <c r="E1" s="58" t="s">
        <v>31</v>
      </c>
      <c r="F1" s="8" t="s">
        <v>154</v>
      </c>
      <c r="G1" s="31" t="s">
        <v>48</v>
      </c>
      <c r="H1" s="34" t="s">
        <v>31</v>
      </c>
      <c r="I1" s="172" t="s">
        <v>55</v>
      </c>
      <c r="J1" s="34" t="s">
        <v>51</v>
      </c>
      <c r="K1" s="34" t="s">
        <v>471</v>
      </c>
      <c r="L1" t="s">
        <v>20</v>
      </c>
      <c r="M1" s="28" t="s">
        <v>22</v>
      </c>
      <c r="N1" t="s">
        <v>21</v>
      </c>
      <c r="O1" t="s">
        <v>23</v>
      </c>
      <c r="P1" t="s">
        <v>24</v>
      </c>
      <c r="Q1" s="171" t="s">
        <v>187</v>
      </c>
      <c r="R1" s="171" t="s">
        <v>186</v>
      </c>
      <c r="S1" s="171" t="s">
        <v>188</v>
      </c>
    </row>
    <row r="2" spans="1:19">
      <c r="A2" s="4">
        <v>1</v>
      </c>
      <c r="B2" s="90">
        <f>IF(Match!B2="","",Match!B2)</f>
        <v>45912</v>
      </c>
      <c r="C2" s="469">
        <f>IF(B2="","",WEEKDAY(B2))</f>
        <v>6</v>
      </c>
      <c r="D2" s="59" t="str">
        <f>IF(Match!D2="","",Match!D2)</f>
        <v>Champ</v>
      </c>
      <c r="E2" s="58" t="str">
        <f>IF(Match!U2="","",Match!U2)</f>
        <v>Ipswich  v  Sheff U   17/20  5/2  3/1</v>
      </c>
      <c r="F2" s="58" t="str">
        <f>IF(Match!V2="","",Match!V2)</f>
        <v xml:space="preserve">Ipswich 5-0 Sheff U </v>
      </c>
      <c r="G2" s="32" t="str">
        <f t="shared" ref="G2:G32" si="0">IF(E2="","",L2)</f>
        <v>Ipswich</v>
      </c>
      <c r="H2" s="33" t="str">
        <f t="shared" ref="H2:H45" si="1">IF(E2="","",M2)</f>
        <v>17/20</v>
      </c>
      <c r="I2" s="173">
        <f>IF(E2="","",Q2)</f>
        <v>1.85</v>
      </c>
      <c r="J2" s="33">
        <f>INDEX(Picks!T:T,MATCH(G2,Picks!R:R,0))</f>
        <v>1</v>
      </c>
      <c r="K2" s="33">
        <f>IF(INDEX(Match!P:P,MATCH(A2,Match!A:A,0))="OFF",0,1)</f>
        <v>1</v>
      </c>
      <c r="L2" t="str">
        <f>INDEX(Match!Q:Q,MATCH(E2,Match!U:U,0))</f>
        <v>Ipswich</v>
      </c>
      <c r="M2" t="str">
        <f>INDEX(Match!X:X,MATCH(E2,Match!U:U,0))</f>
        <v>17/20</v>
      </c>
      <c r="N2" t="str">
        <f>INDEX(Match!R:R,MATCH(E2,Match!U:U,0))</f>
        <v>Sheff U</v>
      </c>
      <c r="O2" t="str">
        <f>INDEX(Match!Y:Y,MATCH(E2,Match!U:U,0))</f>
        <v>5/2</v>
      </c>
      <c r="P2" t="str">
        <f>INDEX(Match!Z:Z,MATCH(E2,Match!U:U,0))</f>
        <v>3/1</v>
      </c>
      <c r="Q2" s="170">
        <f>INDEX(Match!AA:AA,MATCH(E2,Match!U:U,0))</f>
        <v>1.85</v>
      </c>
      <c r="R2" s="170">
        <f>INDEX(Match!AB:AB,MATCH(E2,Match!U:U,0))</f>
        <v>3.5</v>
      </c>
      <c r="S2" s="170">
        <f>INDEX(Match!AC:AC,MATCH(E2,Match!U:U,0))</f>
        <v>4</v>
      </c>
    </row>
    <row r="3" spans="1:19">
      <c r="A3" s="4">
        <v>2</v>
      </c>
      <c r="B3" s="90">
        <f>IF(Match!B3="","",Match!B3)</f>
        <v>45913</v>
      </c>
      <c r="C3" s="469">
        <f t="shared" ref="C3:C66" si="2">IF(B3="","",WEEKDAY(B3))</f>
        <v>7</v>
      </c>
      <c r="D3" s="59" t="str">
        <f>IF(Match!D3="","",Match!D3)</f>
        <v>Premier</v>
      </c>
      <c r="E3" s="58" t="str">
        <f>IF(Match!U3="","",Match!U3)</f>
        <v>Arsenal  v  Forest   2/5  15/4  13/2</v>
      </c>
      <c r="F3" s="58" t="str">
        <f>IF(Match!V3="","",Match!V3)</f>
        <v xml:space="preserve">Arsenal 3-0 Forest </v>
      </c>
      <c r="G3" s="32" t="str">
        <f t="shared" si="0"/>
        <v>Arsenal</v>
      </c>
      <c r="H3" s="33" t="str">
        <f t="shared" si="1"/>
        <v>2/5</v>
      </c>
      <c r="I3" s="173">
        <f t="shared" ref="I3:I47" si="3">IF(E3="","",Q3)</f>
        <v>1.4</v>
      </c>
      <c r="J3" s="33">
        <f>INDEX(Picks!T:T,MATCH(G3,Picks!R:R,0))</f>
        <v>1</v>
      </c>
      <c r="K3" s="33">
        <f>IF(INDEX(Match!P:P,MATCH(A3,Match!A:A,0))="OFF",0,1)</f>
        <v>1</v>
      </c>
      <c r="L3" t="str">
        <f>INDEX(Match!Q:Q,MATCH(E3,Match!U:U,0))</f>
        <v>Arsenal</v>
      </c>
      <c r="M3" t="str">
        <f>INDEX(Match!X:X,MATCH(E3,Match!U:U,0))</f>
        <v>2/5</v>
      </c>
      <c r="N3" t="str">
        <f>INDEX(Match!R:R,MATCH(E3,Match!U:U,0))</f>
        <v>Forest</v>
      </c>
      <c r="O3" t="str">
        <f>INDEX(Match!Y:Y,MATCH(E3,Match!U:U,0))</f>
        <v>15/4</v>
      </c>
      <c r="P3" t="str">
        <f>INDEX(Match!Z:Z,MATCH(E3,Match!U:U,0))</f>
        <v>13/2</v>
      </c>
      <c r="Q3" s="170">
        <f>INDEX(Match!AA:AA,MATCH(E3,Match!U:U,0))</f>
        <v>1.4</v>
      </c>
      <c r="R3" s="170">
        <f>INDEX(Match!AB:AB,MATCH(E3,Match!U:U,0))</f>
        <v>4.75</v>
      </c>
      <c r="S3" s="170">
        <f>INDEX(Match!AC:AC,MATCH(E3,Match!U:U,0))</f>
        <v>7.5</v>
      </c>
    </row>
    <row r="4" spans="1:19">
      <c r="A4" s="4">
        <v>3</v>
      </c>
      <c r="B4" s="90">
        <f>IF(Match!B4="","",Match!B4)</f>
        <v>45913</v>
      </c>
      <c r="C4" s="469">
        <f t="shared" si="2"/>
        <v>7</v>
      </c>
      <c r="D4" s="59" t="str">
        <f>IF(Match!D4="","",Match!D4)</f>
        <v>Premier</v>
      </c>
      <c r="E4" s="58" t="str">
        <f>IF(Match!U4="","",Match!U4)</f>
        <v>Bournemouth  v  Brighton   7/5  5/2  9/5</v>
      </c>
      <c r="F4" s="58" t="str">
        <f>IF(Match!V4="","",Match!V4)</f>
        <v xml:space="preserve">Bournemouth 2-1 Brighton </v>
      </c>
      <c r="G4" s="32" t="str">
        <f t="shared" si="0"/>
        <v>Bournemouth</v>
      </c>
      <c r="H4" s="33" t="str">
        <f t="shared" si="1"/>
        <v>7/5</v>
      </c>
      <c r="I4" s="173">
        <f t="shared" si="3"/>
        <v>2.4</v>
      </c>
      <c r="J4" s="33">
        <f>INDEX(Picks!T:T,MATCH(G4,Picks!R:R,0))</f>
        <v>1</v>
      </c>
      <c r="K4" s="33">
        <f>IF(INDEX(Match!P:P,MATCH(A4,Match!A:A,0))="OFF",0,1)</f>
        <v>1</v>
      </c>
      <c r="L4" t="str">
        <f>INDEX(Match!Q:Q,MATCH(E4,Match!U:U,0))</f>
        <v>Bournemouth</v>
      </c>
      <c r="M4" t="str">
        <f>INDEX(Match!X:X,MATCH(E4,Match!U:U,0))</f>
        <v>7/5</v>
      </c>
      <c r="N4" t="str">
        <f>INDEX(Match!R:R,MATCH(E4,Match!U:U,0))</f>
        <v>Brighton</v>
      </c>
      <c r="O4" t="str">
        <f>INDEX(Match!Y:Y,MATCH(E4,Match!U:U,0))</f>
        <v>5/2</v>
      </c>
      <c r="P4" t="str">
        <f>INDEX(Match!Z:Z,MATCH(E4,Match!U:U,0))</f>
        <v>9/5</v>
      </c>
      <c r="Q4" s="170">
        <f>INDEX(Match!AA:AA,MATCH(E4,Match!U:U,0))</f>
        <v>2.4</v>
      </c>
      <c r="R4" s="170">
        <f>INDEX(Match!AB:AB,MATCH(E4,Match!U:U,0))</f>
        <v>3.5</v>
      </c>
      <c r="S4" s="170">
        <f>INDEX(Match!AC:AC,MATCH(E4,Match!U:U,0))</f>
        <v>2.8</v>
      </c>
    </row>
    <row r="5" spans="1:19">
      <c r="A5" s="4">
        <v>4</v>
      </c>
      <c r="B5" s="90">
        <f>IF(Match!B5="","",Match!B5)</f>
        <v>45913</v>
      </c>
      <c r="C5" s="469">
        <f t="shared" si="2"/>
        <v>7</v>
      </c>
      <c r="D5" s="59" t="str">
        <f>IF(Match!D5="","",Match!D5)</f>
        <v>Premier</v>
      </c>
      <c r="E5" s="58" t="str">
        <f>IF(Match!U5="","",Match!U5)</f>
        <v>Brentford  v  Chelsea   17/5  11/4  3/4</v>
      </c>
      <c r="F5" s="58" t="str">
        <f>IF(Match!V5="","",Match!V5)</f>
        <v xml:space="preserve">Brentford 2-2 Chelsea </v>
      </c>
      <c r="G5" s="32" t="str">
        <f t="shared" si="0"/>
        <v>Brentford</v>
      </c>
      <c r="H5" s="33" t="str">
        <f t="shared" si="1"/>
        <v>17/5</v>
      </c>
      <c r="I5" s="173">
        <f t="shared" si="3"/>
        <v>4.4000000000000004</v>
      </c>
      <c r="J5" s="33">
        <f>INDEX(Picks!T:T,MATCH(G5,Picks!R:R,0))</f>
        <v>0</v>
      </c>
      <c r="K5" s="33">
        <f>IF(INDEX(Match!P:P,MATCH(A5,Match!A:A,0))="OFF",0,1)</f>
        <v>1</v>
      </c>
      <c r="L5" t="str">
        <f>INDEX(Match!Q:Q,MATCH(E5,Match!U:U,0))</f>
        <v>Brentford</v>
      </c>
      <c r="M5" t="str">
        <f>INDEX(Match!X:X,MATCH(E5,Match!U:U,0))</f>
        <v>17/5</v>
      </c>
      <c r="N5" t="str">
        <f>INDEX(Match!R:R,MATCH(E5,Match!U:U,0))</f>
        <v>Chelsea</v>
      </c>
      <c r="O5" t="str">
        <f>INDEX(Match!Y:Y,MATCH(E5,Match!U:U,0))</f>
        <v>11/4</v>
      </c>
      <c r="P5" t="str">
        <f>INDEX(Match!Z:Z,MATCH(E5,Match!U:U,0))</f>
        <v>3/4</v>
      </c>
      <c r="Q5" s="170">
        <f>INDEX(Match!AA:AA,MATCH(E5,Match!U:U,0))</f>
        <v>4.4000000000000004</v>
      </c>
      <c r="R5" s="170">
        <f>INDEX(Match!AB:AB,MATCH(E5,Match!U:U,0))</f>
        <v>3.75</v>
      </c>
      <c r="S5" s="170">
        <f>INDEX(Match!AC:AC,MATCH(E5,Match!U:U,0))</f>
        <v>1.75</v>
      </c>
    </row>
    <row r="6" spans="1:19">
      <c r="A6" s="4">
        <v>5</v>
      </c>
      <c r="B6" s="90">
        <f>IF(Match!B6="","",Match!B6)</f>
        <v>45913</v>
      </c>
      <c r="C6" s="469">
        <f t="shared" si="2"/>
        <v>7</v>
      </c>
      <c r="D6" s="59" t="str">
        <f>IF(Match!D6="","",Match!D6)</f>
        <v>Premier</v>
      </c>
      <c r="E6" s="58" t="str">
        <f>IF(Match!U6="","",Match!U6)</f>
        <v>Everton  v  Villa   29/20  11/5  19/10</v>
      </c>
      <c r="F6" s="58" t="str">
        <f>IF(Match!V6="","",Match!V6)</f>
        <v xml:space="preserve">Everton 0-0 Villa </v>
      </c>
      <c r="G6" s="32" t="str">
        <f t="shared" si="0"/>
        <v>Everton</v>
      </c>
      <c r="H6" s="33" t="str">
        <f t="shared" si="1"/>
        <v>29/20</v>
      </c>
      <c r="I6" s="173">
        <f t="shared" si="3"/>
        <v>2.4500000000000002</v>
      </c>
      <c r="J6" s="33">
        <f>INDEX(Picks!T:T,MATCH(G6,Picks!R:R,0))</f>
        <v>0</v>
      </c>
      <c r="K6" s="33">
        <f>IF(INDEX(Match!P:P,MATCH(A6,Match!A:A,0))="OFF",0,1)</f>
        <v>1</v>
      </c>
      <c r="L6" t="str">
        <f>INDEX(Match!Q:Q,MATCH(E6,Match!U:U,0))</f>
        <v>Everton</v>
      </c>
      <c r="M6" t="str">
        <f>INDEX(Match!X:X,MATCH(E6,Match!U:U,0))</f>
        <v>29/20</v>
      </c>
      <c r="N6" t="str">
        <f>INDEX(Match!R:R,MATCH(E6,Match!U:U,0))</f>
        <v>Villa</v>
      </c>
      <c r="O6" t="str">
        <f>INDEX(Match!Y:Y,MATCH(E6,Match!U:U,0))</f>
        <v>11/5</v>
      </c>
      <c r="P6" t="str">
        <f>INDEX(Match!Z:Z,MATCH(E6,Match!U:U,0))</f>
        <v>19/10</v>
      </c>
      <c r="Q6" s="170">
        <f>INDEX(Match!AA:AA,MATCH(E6,Match!U:U,0))</f>
        <v>2.4500000000000002</v>
      </c>
      <c r="R6" s="170">
        <f>INDEX(Match!AB:AB,MATCH(E6,Match!U:U,0))</f>
        <v>3.2</v>
      </c>
      <c r="S6" s="170">
        <f>INDEX(Match!AC:AC,MATCH(E6,Match!U:U,0))</f>
        <v>2.9</v>
      </c>
    </row>
    <row r="7" spans="1:19">
      <c r="A7" s="4">
        <v>6</v>
      </c>
      <c r="B7" s="90">
        <f>IF(Match!B7="","",Match!B7)</f>
        <v>45913</v>
      </c>
      <c r="C7" s="469">
        <f t="shared" si="2"/>
        <v>7</v>
      </c>
      <c r="D7" s="59" t="str">
        <f>IF(Match!D7="","",Match!D7)</f>
        <v>Premier</v>
      </c>
      <c r="E7" s="58" t="str">
        <f>IF(Match!U7="","",Match!U7)</f>
        <v>Fulham  v  Leeds   10/11  13/5  29/10</v>
      </c>
      <c r="F7" s="58" t="str">
        <f>IF(Match!V7="","",Match!V7)</f>
        <v xml:space="preserve">Fulham 1-0 Leeds </v>
      </c>
      <c r="G7" s="32" t="str">
        <f t="shared" si="0"/>
        <v>Fulham</v>
      </c>
      <c r="H7" s="33" t="str">
        <f t="shared" si="1"/>
        <v>10/11</v>
      </c>
      <c r="I7" s="173">
        <f t="shared" si="3"/>
        <v>1.9090909090909092</v>
      </c>
      <c r="J7" s="33">
        <f>INDEX(Picks!T:T,MATCH(G7,Picks!R:R,0))</f>
        <v>1</v>
      </c>
      <c r="K7" s="33">
        <f>IF(INDEX(Match!P:P,MATCH(A7,Match!A:A,0))="OFF",0,1)</f>
        <v>1</v>
      </c>
      <c r="L7" t="str">
        <f>INDEX(Match!Q:Q,MATCH(E7,Match!U:U,0))</f>
        <v>Fulham</v>
      </c>
      <c r="M7" t="str">
        <f>INDEX(Match!X:X,MATCH(E7,Match!U:U,0))</f>
        <v>10/11</v>
      </c>
      <c r="N7" t="str">
        <f>INDEX(Match!R:R,MATCH(E7,Match!U:U,0))</f>
        <v>Leeds</v>
      </c>
      <c r="O7" t="str">
        <f>INDEX(Match!Y:Y,MATCH(E7,Match!U:U,0))</f>
        <v>13/5</v>
      </c>
      <c r="P7" t="str">
        <f>INDEX(Match!Z:Z,MATCH(E7,Match!U:U,0))</f>
        <v>29/10</v>
      </c>
      <c r="Q7" s="170">
        <f>INDEX(Match!AA:AA,MATCH(E7,Match!U:U,0))</f>
        <v>1.9090909090909092</v>
      </c>
      <c r="R7" s="170">
        <f>INDEX(Match!AB:AB,MATCH(E7,Match!U:U,0))</f>
        <v>3.6</v>
      </c>
      <c r="S7" s="170">
        <f>INDEX(Match!AC:AC,MATCH(E7,Match!U:U,0))</f>
        <v>3.9</v>
      </c>
    </row>
    <row r="8" spans="1:19">
      <c r="A8" s="4">
        <v>7</v>
      </c>
      <c r="B8" s="90">
        <f>IF(Match!B8="","",Match!B8)</f>
        <v>45913</v>
      </c>
      <c r="C8" s="469">
        <f t="shared" si="2"/>
        <v>7</v>
      </c>
      <c r="D8" s="59" t="str">
        <f>IF(Match!D8="","",Match!D8)</f>
        <v>Premier</v>
      </c>
      <c r="E8" s="58" t="str">
        <f>IF(Match!U8="","",Match!U8)</f>
        <v>Newcastle  v  Wolves   4/9  7/2  11/2</v>
      </c>
      <c r="F8" s="58" t="str">
        <f>IF(Match!V8="","",Match!V8)</f>
        <v xml:space="preserve">Newcastle 1-0 Wolves </v>
      </c>
      <c r="G8" s="32" t="str">
        <f t="shared" si="0"/>
        <v>Newcastle</v>
      </c>
      <c r="H8" s="33" t="str">
        <f t="shared" si="1"/>
        <v>4/9</v>
      </c>
      <c r="I8" s="173">
        <f t="shared" si="3"/>
        <v>1.4444444444444444</v>
      </c>
      <c r="J8" s="33">
        <f>INDEX(Picks!T:T,MATCH(G8,Picks!R:R,0))</f>
        <v>1</v>
      </c>
      <c r="K8" s="33">
        <f>IF(INDEX(Match!P:P,MATCH(A8,Match!A:A,0))="OFF",0,1)</f>
        <v>1</v>
      </c>
      <c r="L8" t="str">
        <f>INDEX(Match!Q:Q,MATCH(E8,Match!U:U,0))</f>
        <v>Newcastle</v>
      </c>
      <c r="M8" t="str">
        <f>INDEX(Match!X:X,MATCH(E8,Match!U:U,0))</f>
        <v>4/9</v>
      </c>
      <c r="N8" t="str">
        <f>INDEX(Match!R:R,MATCH(E8,Match!U:U,0))</f>
        <v>Wolves</v>
      </c>
      <c r="O8" t="str">
        <f>INDEX(Match!Y:Y,MATCH(E8,Match!U:U,0))</f>
        <v>7/2</v>
      </c>
      <c r="P8" t="str">
        <f>INDEX(Match!Z:Z,MATCH(E8,Match!U:U,0))</f>
        <v>11/2</v>
      </c>
      <c r="Q8" s="170">
        <f>INDEX(Match!AA:AA,MATCH(E8,Match!U:U,0))</f>
        <v>1.4444444444444444</v>
      </c>
      <c r="R8" s="170">
        <f>INDEX(Match!AB:AB,MATCH(E8,Match!U:U,0))</f>
        <v>4.5</v>
      </c>
      <c r="S8" s="170">
        <f>INDEX(Match!AC:AC,MATCH(E8,Match!U:U,0))</f>
        <v>6.5</v>
      </c>
    </row>
    <row r="9" spans="1:19">
      <c r="A9" s="4">
        <v>8</v>
      </c>
      <c r="B9" s="90">
        <f>IF(Match!B9="","",Match!B9)</f>
        <v>45913</v>
      </c>
      <c r="C9" s="469">
        <f t="shared" si="2"/>
        <v>7</v>
      </c>
      <c r="D9" s="59" t="str">
        <f>IF(Match!D9="","",Match!D9)</f>
        <v>Premier</v>
      </c>
      <c r="E9" s="58" t="str">
        <f>IF(Match!U9="","",Match!U9)</f>
        <v>Palace  v  Sunderland   8/13  14/5  4/1</v>
      </c>
      <c r="F9" s="58" t="str">
        <f>IF(Match!V9="","",Match!V9)</f>
        <v xml:space="preserve">Palace 0-0 Sunderland </v>
      </c>
      <c r="G9" s="32" t="str">
        <f t="shared" si="0"/>
        <v>Palace</v>
      </c>
      <c r="H9" s="33" t="str">
        <f t="shared" si="1"/>
        <v>8/13</v>
      </c>
      <c r="I9" s="173">
        <f t="shared" si="3"/>
        <v>1.6153846153846154</v>
      </c>
      <c r="J9" s="33">
        <f>INDEX(Picks!T:T,MATCH(G9,Picks!R:R,0))</f>
        <v>0</v>
      </c>
      <c r="K9" s="33">
        <f>IF(INDEX(Match!P:P,MATCH(A9,Match!A:A,0))="OFF",0,1)</f>
        <v>1</v>
      </c>
      <c r="L9" t="str">
        <f>INDEX(Match!Q:Q,MATCH(E9,Match!U:U,0))</f>
        <v>Palace</v>
      </c>
      <c r="M9" t="str">
        <f>INDEX(Match!X:X,MATCH(E9,Match!U:U,0))</f>
        <v>8/13</v>
      </c>
      <c r="N9" t="str">
        <f>INDEX(Match!R:R,MATCH(E9,Match!U:U,0))</f>
        <v>Sunderland</v>
      </c>
      <c r="O9" t="str">
        <f>INDEX(Match!Y:Y,MATCH(E9,Match!U:U,0))</f>
        <v>14/5</v>
      </c>
      <c r="P9" t="str">
        <f>INDEX(Match!Z:Z,MATCH(E9,Match!U:U,0))</f>
        <v>4/1</v>
      </c>
      <c r="Q9" s="170">
        <f>INDEX(Match!AA:AA,MATCH(E9,Match!U:U,0))</f>
        <v>1.6153846153846154</v>
      </c>
      <c r="R9" s="170">
        <f>INDEX(Match!AB:AB,MATCH(E9,Match!U:U,0))</f>
        <v>3.8</v>
      </c>
      <c r="S9" s="170">
        <f>INDEX(Match!AC:AC,MATCH(E9,Match!U:U,0))</f>
        <v>5</v>
      </c>
    </row>
    <row r="10" spans="1:19">
      <c r="A10" s="4">
        <v>9</v>
      </c>
      <c r="B10" s="90">
        <f>IF(Match!B10="","",Match!B10)</f>
        <v>45913</v>
      </c>
      <c r="C10" s="469">
        <f t="shared" si="2"/>
        <v>7</v>
      </c>
      <c r="D10" s="59" t="str">
        <f>IF(Match!D10="","",Match!D10)</f>
        <v>Premier</v>
      </c>
      <c r="E10" s="58" t="str">
        <f>IF(Match!U10="","",Match!U10)</f>
        <v>West Ham  v  Spurs   23/10  12/5  23/20</v>
      </c>
      <c r="F10" s="58" t="str">
        <f>IF(Match!V10="","",Match!V10)</f>
        <v xml:space="preserve">West Ham 0-3 Spurs </v>
      </c>
      <c r="G10" s="32" t="str">
        <f t="shared" si="0"/>
        <v>West Ham</v>
      </c>
      <c r="H10" s="33" t="str">
        <f t="shared" si="1"/>
        <v>23/10</v>
      </c>
      <c r="I10" s="173">
        <f t="shared" si="3"/>
        <v>3.3</v>
      </c>
      <c r="J10" s="33">
        <f>INDEX(Picks!T:T,MATCH(G10,Picks!R:R,0))</f>
        <v>0</v>
      </c>
      <c r="K10" s="33">
        <f>IF(INDEX(Match!P:P,MATCH(A10,Match!A:A,0))="OFF",0,1)</f>
        <v>1</v>
      </c>
      <c r="L10" t="str">
        <f>INDEX(Match!Q:Q,MATCH(E10,Match!U:U,0))</f>
        <v>West Ham</v>
      </c>
      <c r="M10" t="str">
        <f>INDEX(Match!X:X,MATCH(E10,Match!U:U,0))</f>
        <v>23/10</v>
      </c>
      <c r="N10" t="str">
        <f>INDEX(Match!R:R,MATCH(E10,Match!U:U,0))</f>
        <v>Spurs</v>
      </c>
      <c r="O10" t="str">
        <f>INDEX(Match!Y:Y,MATCH(E10,Match!U:U,0))</f>
        <v>12/5</v>
      </c>
      <c r="P10" t="str">
        <f>INDEX(Match!Z:Z,MATCH(E10,Match!U:U,0))</f>
        <v>23/20</v>
      </c>
      <c r="Q10" s="170">
        <f>INDEX(Match!AA:AA,MATCH(E10,Match!U:U,0))</f>
        <v>3.3</v>
      </c>
      <c r="R10" s="170">
        <f>INDEX(Match!AB:AB,MATCH(E10,Match!U:U,0))</f>
        <v>3.4</v>
      </c>
      <c r="S10" s="170">
        <f>INDEX(Match!AC:AC,MATCH(E10,Match!U:U,0))</f>
        <v>2.15</v>
      </c>
    </row>
    <row r="11" spans="1:19">
      <c r="A11" s="4">
        <v>10</v>
      </c>
      <c r="B11" s="90">
        <f>IF(Match!B11="","",Match!B11)</f>
        <v>45913</v>
      </c>
      <c r="C11" s="469">
        <f t="shared" si="2"/>
        <v>7</v>
      </c>
      <c r="D11" s="59" t="str">
        <f>IF(Match!D11="","",Match!D11)</f>
        <v>Champ</v>
      </c>
      <c r="E11" s="58" t="str">
        <f>IF(Match!U11="","",Match!U11)</f>
        <v>Charlton  v  Millwall   13/10  21/10  2/1</v>
      </c>
      <c r="F11" s="58" t="str">
        <f>IF(Match!V11="","",Match!V11)</f>
        <v xml:space="preserve">Charlton 1-1 Millwall </v>
      </c>
      <c r="G11" s="32" t="str">
        <f t="shared" si="0"/>
        <v>Charlton</v>
      </c>
      <c r="H11" s="33" t="str">
        <f t="shared" si="1"/>
        <v>13/10</v>
      </c>
      <c r="I11" s="173">
        <f t="shared" si="3"/>
        <v>2.2999999999999998</v>
      </c>
      <c r="J11" s="33">
        <f>INDEX(Picks!T:T,MATCH(G11,Picks!R:R,0))</f>
        <v>0</v>
      </c>
      <c r="K11" s="33">
        <f>IF(INDEX(Match!P:P,MATCH(A11,Match!A:A,0))="OFF",0,1)</f>
        <v>1</v>
      </c>
      <c r="L11" t="str">
        <f>INDEX(Match!Q:Q,MATCH(E11,Match!U:U,0))</f>
        <v>Charlton</v>
      </c>
      <c r="M11" t="str">
        <f>INDEX(Match!X:X,MATCH(E11,Match!U:U,0))</f>
        <v>13/10</v>
      </c>
      <c r="N11" t="str">
        <f>INDEX(Match!R:R,MATCH(E11,Match!U:U,0))</f>
        <v>Millwall</v>
      </c>
      <c r="O11" t="str">
        <f>INDEX(Match!Y:Y,MATCH(E11,Match!U:U,0))</f>
        <v>21/10</v>
      </c>
      <c r="P11" t="str">
        <f>INDEX(Match!Z:Z,MATCH(E11,Match!U:U,0))</f>
        <v>2/1</v>
      </c>
      <c r="Q11" s="170">
        <f>INDEX(Match!AA:AA,MATCH(E11,Match!U:U,0))</f>
        <v>2.2999999999999998</v>
      </c>
      <c r="R11" s="170">
        <f>INDEX(Match!AB:AB,MATCH(E11,Match!U:U,0))</f>
        <v>3.1</v>
      </c>
      <c r="S11" s="170">
        <f>INDEX(Match!AC:AC,MATCH(E11,Match!U:U,0))</f>
        <v>3</v>
      </c>
    </row>
    <row r="12" spans="1:19">
      <c r="A12" s="4">
        <v>11</v>
      </c>
      <c r="B12" s="90">
        <f>IF(Match!B12="","",Match!B12)</f>
        <v>45913</v>
      </c>
      <c r="C12" s="469">
        <f t="shared" si="2"/>
        <v>7</v>
      </c>
      <c r="D12" s="59" t="str">
        <f>IF(Match!D12="","",Match!D12)</f>
        <v>Champ</v>
      </c>
      <c r="E12" s="58" t="str">
        <f>IF(Match!U12="","",Match!U12)</f>
        <v>Coventry  v  Norwich   8/11  27/10  7/2</v>
      </c>
      <c r="F12" s="58" t="str">
        <f>IF(Match!V12="","",Match!V12)</f>
        <v xml:space="preserve">Coventry 1-1 Norwich </v>
      </c>
      <c r="G12" s="32" t="str">
        <f t="shared" si="0"/>
        <v>Coventry</v>
      </c>
      <c r="H12" s="33" t="str">
        <f t="shared" si="1"/>
        <v>8/11</v>
      </c>
      <c r="I12" s="173">
        <f t="shared" si="3"/>
        <v>1.7272727272727273</v>
      </c>
      <c r="J12" s="33">
        <f>INDEX(Picks!T:T,MATCH(G12,Picks!R:R,0))</f>
        <v>0</v>
      </c>
      <c r="K12" s="33">
        <f>IF(INDEX(Match!P:P,MATCH(A12,Match!A:A,0))="OFF",0,1)</f>
        <v>1</v>
      </c>
      <c r="L12" t="str">
        <f>INDEX(Match!Q:Q,MATCH(E12,Match!U:U,0))</f>
        <v>Coventry</v>
      </c>
      <c r="M12" t="str">
        <f>INDEX(Match!X:X,MATCH(E12,Match!U:U,0))</f>
        <v>8/11</v>
      </c>
      <c r="N12" t="str">
        <f>INDEX(Match!R:R,MATCH(E12,Match!U:U,0))</f>
        <v>Norwich</v>
      </c>
      <c r="O12" t="str">
        <f>INDEX(Match!Y:Y,MATCH(E12,Match!U:U,0))</f>
        <v>27/10</v>
      </c>
      <c r="P12" t="str">
        <f>INDEX(Match!Z:Z,MATCH(E12,Match!U:U,0))</f>
        <v>7/2</v>
      </c>
      <c r="Q12" s="170">
        <f>INDEX(Match!AA:AA,MATCH(E12,Match!U:U,0))</f>
        <v>1.7272727272727273</v>
      </c>
      <c r="R12" s="170">
        <f>INDEX(Match!AB:AB,MATCH(E12,Match!U:U,0))</f>
        <v>3.7</v>
      </c>
      <c r="S12" s="170">
        <f>INDEX(Match!AC:AC,MATCH(E12,Match!U:U,0))</f>
        <v>4.5</v>
      </c>
    </row>
    <row r="13" spans="1:19">
      <c r="A13" s="4">
        <v>12</v>
      </c>
      <c r="B13" s="90">
        <f>IF(Match!B13="","",Match!B13)</f>
        <v>45913</v>
      </c>
      <c r="C13" s="469">
        <f t="shared" si="2"/>
        <v>7</v>
      </c>
      <c r="D13" s="59" t="str">
        <f>IF(Match!D13="","",Match!D13)</f>
        <v>Champ</v>
      </c>
      <c r="E13" s="58" t="str">
        <f>IF(Match!U13="","",Match!U13)</f>
        <v>Oxford  v  Leicester   29/10  12/5  10/11</v>
      </c>
      <c r="F13" s="58" t="str">
        <f>IF(Match!V13="","",Match!V13)</f>
        <v xml:space="preserve">Oxford 2-2 Leicester </v>
      </c>
      <c r="G13" s="32" t="str">
        <f t="shared" si="0"/>
        <v>Oxford</v>
      </c>
      <c r="H13" s="33" t="str">
        <f t="shared" si="1"/>
        <v>29/10</v>
      </c>
      <c r="I13" s="173">
        <f t="shared" si="3"/>
        <v>3.9</v>
      </c>
      <c r="J13" s="33">
        <f>INDEX(Picks!T:T,MATCH(G13,Picks!R:R,0))</f>
        <v>0</v>
      </c>
      <c r="K13" s="33">
        <f>IF(INDEX(Match!P:P,MATCH(A13,Match!A:A,0))="OFF",0,1)</f>
        <v>1</v>
      </c>
      <c r="L13" t="str">
        <f>INDEX(Match!Q:Q,MATCH(E13,Match!U:U,0))</f>
        <v>Oxford</v>
      </c>
      <c r="M13" t="str">
        <f>INDEX(Match!X:X,MATCH(E13,Match!U:U,0))</f>
        <v>29/10</v>
      </c>
      <c r="N13" t="str">
        <f>INDEX(Match!R:R,MATCH(E13,Match!U:U,0))</f>
        <v>Leicester</v>
      </c>
      <c r="O13" t="str">
        <f>INDEX(Match!Y:Y,MATCH(E13,Match!U:U,0))</f>
        <v>12/5</v>
      </c>
      <c r="P13" t="str">
        <f>INDEX(Match!Z:Z,MATCH(E13,Match!U:U,0))</f>
        <v>10/11</v>
      </c>
      <c r="Q13" s="170">
        <f>INDEX(Match!AA:AA,MATCH(E13,Match!U:U,0))</f>
        <v>3.9</v>
      </c>
      <c r="R13" s="170">
        <f>INDEX(Match!AB:AB,MATCH(E13,Match!U:U,0))</f>
        <v>3.4</v>
      </c>
      <c r="S13" s="170">
        <f>INDEX(Match!AC:AC,MATCH(E13,Match!U:U,0))</f>
        <v>1.9090909090909092</v>
      </c>
    </row>
    <row r="14" spans="1:19">
      <c r="A14" s="4">
        <v>13</v>
      </c>
      <c r="B14" s="90">
        <f>IF(Match!B14="","",Match!B14)</f>
        <v>45913</v>
      </c>
      <c r="C14" s="469">
        <f t="shared" si="2"/>
        <v>7</v>
      </c>
      <c r="D14" s="59" t="str">
        <f>IF(Match!D14="","",Match!D14)</f>
        <v>Champ</v>
      </c>
      <c r="E14" s="58" t="str">
        <f>IF(Match!U14="","",Match!U14)</f>
        <v>Preston  v  Middlesbro   9/5  11/5  29/20</v>
      </c>
      <c r="F14" s="58" t="str">
        <f>IF(Match!V14="","",Match!V14)</f>
        <v xml:space="preserve">Preston 2-2 Middlesbro </v>
      </c>
      <c r="G14" s="32" t="str">
        <f t="shared" si="0"/>
        <v>Preston</v>
      </c>
      <c r="H14" s="33" t="str">
        <f t="shared" si="1"/>
        <v>9/5</v>
      </c>
      <c r="I14" s="173">
        <f t="shared" si="3"/>
        <v>2.8</v>
      </c>
      <c r="J14" s="33">
        <f>INDEX(Picks!T:T,MATCH(G14,Picks!R:R,0))</f>
        <v>0</v>
      </c>
      <c r="K14" s="33">
        <f>IF(INDEX(Match!P:P,MATCH(A14,Match!A:A,0))="OFF",0,1)</f>
        <v>1</v>
      </c>
      <c r="L14" t="str">
        <f>INDEX(Match!Q:Q,MATCH(E14,Match!U:U,0))</f>
        <v>Preston</v>
      </c>
      <c r="M14" t="str">
        <f>INDEX(Match!X:X,MATCH(E14,Match!U:U,0))</f>
        <v>9/5</v>
      </c>
      <c r="N14" t="str">
        <f>INDEX(Match!R:R,MATCH(E14,Match!U:U,0))</f>
        <v>Middlesbro</v>
      </c>
      <c r="O14" t="str">
        <f>INDEX(Match!Y:Y,MATCH(E14,Match!U:U,0))</f>
        <v>11/5</v>
      </c>
      <c r="P14" t="str">
        <f>INDEX(Match!Z:Z,MATCH(E14,Match!U:U,0))</f>
        <v>29/20</v>
      </c>
      <c r="Q14" s="170">
        <f>INDEX(Match!AA:AA,MATCH(E14,Match!U:U,0))</f>
        <v>2.8</v>
      </c>
      <c r="R14" s="170">
        <f>INDEX(Match!AB:AB,MATCH(E14,Match!U:U,0))</f>
        <v>3.2</v>
      </c>
      <c r="S14" s="170">
        <f>INDEX(Match!AC:AC,MATCH(E14,Match!U:U,0))</f>
        <v>2.4500000000000002</v>
      </c>
    </row>
    <row r="15" spans="1:19">
      <c r="A15" s="4">
        <v>14</v>
      </c>
      <c r="B15" s="90">
        <f>IF(Match!B15="","",Match!B15)</f>
        <v>45913</v>
      </c>
      <c r="C15" s="469">
        <f t="shared" si="2"/>
        <v>7</v>
      </c>
      <c r="D15" s="59" t="str">
        <f>IF(Match!D15="","",Match!D15)</f>
        <v>Champ</v>
      </c>
      <c r="E15" s="58" t="str">
        <f>IF(Match!U15="","",Match!U15)</f>
        <v>Sheff W  v  Bristol C   23/10  23/10  11/10</v>
      </c>
      <c r="F15" s="58" t="str">
        <f>IF(Match!V15="","",Match!V15)</f>
        <v xml:space="preserve">Sheff W 0-3 Bristol C </v>
      </c>
      <c r="G15" s="32" t="str">
        <f t="shared" si="0"/>
        <v>Sheff W</v>
      </c>
      <c r="H15" s="33" t="str">
        <f t="shared" si="1"/>
        <v>23/10</v>
      </c>
      <c r="I15" s="173">
        <f t="shared" si="3"/>
        <v>3.3</v>
      </c>
      <c r="J15" s="33">
        <f>INDEX(Picks!T:T,MATCH(G15,Picks!R:R,0))</f>
        <v>0</v>
      </c>
      <c r="K15" s="33">
        <f>IF(INDEX(Match!P:P,MATCH(A15,Match!A:A,0))="OFF",0,1)</f>
        <v>1</v>
      </c>
      <c r="L15" t="str">
        <f>INDEX(Match!Q:Q,MATCH(E15,Match!U:U,0))</f>
        <v>Sheff W</v>
      </c>
      <c r="M15" t="str">
        <f>INDEX(Match!X:X,MATCH(E15,Match!U:U,0))</f>
        <v>23/10</v>
      </c>
      <c r="N15" t="str">
        <f>INDEX(Match!R:R,MATCH(E15,Match!U:U,0))</f>
        <v>Bristol C</v>
      </c>
      <c r="O15" t="str">
        <f>INDEX(Match!Y:Y,MATCH(E15,Match!U:U,0))</f>
        <v>23/10</v>
      </c>
      <c r="P15" t="str">
        <f>INDEX(Match!Z:Z,MATCH(E15,Match!U:U,0))</f>
        <v>11/10</v>
      </c>
      <c r="Q15" s="170">
        <f>INDEX(Match!AA:AA,MATCH(E15,Match!U:U,0))</f>
        <v>3.3</v>
      </c>
      <c r="R15" s="170">
        <f>INDEX(Match!AB:AB,MATCH(E15,Match!U:U,0))</f>
        <v>3.3</v>
      </c>
      <c r="S15" s="170">
        <f>INDEX(Match!AC:AC,MATCH(E15,Match!U:U,0))</f>
        <v>2.1</v>
      </c>
    </row>
    <row r="16" spans="1:19">
      <c r="A16" s="4">
        <v>15</v>
      </c>
      <c r="B16" s="90">
        <f>IF(Match!B16="","",Match!B16)</f>
        <v>45913</v>
      </c>
      <c r="C16" s="469">
        <f t="shared" si="2"/>
        <v>7</v>
      </c>
      <c r="D16" s="59" t="str">
        <f>IF(Match!D16="","",Match!D16)</f>
        <v>Champ</v>
      </c>
      <c r="E16" s="58" t="str">
        <f>IF(Match!U16="","",Match!U16)</f>
        <v>Stoke  v  Birmingham   2/1  21/10  13/10</v>
      </c>
      <c r="F16" s="58" t="str">
        <f>IF(Match!V16="","",Match!V16)</f>
        <v xml:space="preserve">Stoke 1-0 Birmingham </v>
      </c>
      <c r="G16" s="32" t="str">
        <f t="shared" si="0"/>
        <v>Stoke</v>
      </c>
      <c r="H16" s="33" t="str">
        <f t="shared" si="1"/>
        <v>2/1</v>
      </c>
      <c r="I16" s="173">
        <f t="shared" si="3"/>
        <v>3</v>
      </c>
      <c r="J16" s="33">
        <f>INDEX(Picks!T:T,MATCH(G16,Picks!R:R,0))</f>
        <v>1</v>
      </c>
      <c r="K16" s="33">
        <f>IF(INDEX(Match!P:P,MATCH(A16,Match!A:A,0))="OFF",0,1)</f>
        <v>1</v>
      </c>
      <c r="L16" t="str">
        <f>INDEX(Match!Q:Q,MATCH(E16,Match!U:U,0))</f>
        <v>Stoke</v>
      </c>
      <c r="M16" t="str">
        <f>INDEX(Match!X:X,MATCH(E16,Match!U:U,0))</f>
        <v>2/1</v>
      </c>
      <c r="N16" t="str">
        <f>INDEX(Match!R:R,MATCH(E16,Match!U:U,0))</f>
        <v>Birmingham</v>
      </c>
      <c r="O16" t="str">
        <f>INDEX(Match!Y:Y,MATCH(E16,Match!U:U,0))</f>
        <v>21/10</v>
      </c>
      <c r="P16" t="str">
        <f>INDEX(Match!Z:Z,MATCH(E16,Match!U:U,0))</f>
        <v>13/10</v>
      </c>
      <c r="Q16" s="170">
        <f>INDEX(Match!AA:AA,MATCH(E16,Match!U:U,0))</f>
        <v>3</v>
      </c>
      <c r="R16" s="170">
        <f>INDEX(Match!AB:AB,MATCH(E16,Match!U:U,0))</f>
        <v>3.1</v>
      </c>
      <c r="S16" s="170">
        <f>INDEX(Match!AC:AC,MATCH(E16,Match!U:U,0))</f>
        <v>2.2999999999999998</v>
      </c>
    </row>
    <row r="17" spans="1:19">
      <c r="A17" s="4">
        <v>16</v>
      </c>
      <c r="B17" s="90">
        <f>IF(Match!B17="","",Match!B17)</f>
        <v>45913</v>
      </c>
      <c r="C17" s="469">
        <f t="shared" si="2"/>
        <v>7</v>
      </c>
      <c r="D17" s="59" t="str">
        <f>IF(Match!D17="","",Match!D17)</f>
        <v>Champ</v>
      </c>
      <c r="E17" s="58" t="str">
        <f>IF(Match!U17="","",Match!U17)</f>
        <v>Swansea  v  Hull   5/6  12/5  10/3</v>
      </c>
      <c r="F17" s="58" t="str">
        <f>IF(Match!V17="","",Match!V17)</f>
        <v xml:space="preserve">Swansea 2-2 Hull </v>
      </c>
      <c r="G17" s="32" t="str">
        <f t="shared" si="0"/>
        <v>Swansea</v>
      </c>
      <c r="H17" s="33" t="str">
        <f t="shared" si="1"/>
        <v>5/6</v>
      </c>
      <c r="I17" s="173">
        <f t="shared" si="3"/>
        <v>1.8333333333333335</v>
      </c>
      <c r="J17" s="33">
        <f>INDEX(Picks!T:T,MATCH(G17,Picks!R:R,0))</f>
        <v>0</v>
      </c>
      <c r="K17" s="33">
        <f>IF(INDEX(Match!P:P,MATCH(A17,Match!A:A,0))="OFF",0,1)</f>
        <v>1</v>
      </c>
      <c r="L17" t="str">
        <f>INDEX(Match!Q:Q,MATCH(E17,Match!U:U,0))</f>
        <v>Swansea</v>
      </c>
      <c r="M17" t="str">
        <f>INDEX(Match!X:X,MATCH(E17,Match!U:U,0))</f>
        <v>5/6</v>
      </c>
      <c r="N17" t="str">
        <f>INDEX(Match!R:R,MATCH(E17,Match!U:U,0))</f>
        <v>Hull</v>
      </c>
      <c r="O17" t="str">
        <f>INDEX(Match!Y:Y,MATCH(E17,Match!U:U,0))</f>
        <v>12/5</v>
      </c>
      <c r="P17" t="str">
        <f>INDEX(Match!Z:Z,MATCH(E17,Match!U:U,0))</f>
        <v>10/3</v>
      </c>
      <c r="Q17" s="170">
        <f>INDEX(Match!AA:AA,MATCH(E17,Match!U:U,0))</f>
        <v>1.8333333333333335</v>
      </c>
      <c r="R17" s="170">
        <f>INDEX(Match!AB:AB,MATCH(E17,Match!U:U,0))</f>
        <v>3.4</v>
      </c>
      <c r="S17" s="170">
        <f>INDEX(Match!AC:AC,MATCH(E17,Match!U:U,0))</f>
        <v>4.3333333333333339</v>
      </c>
    </row>
    <row r="18" spans="1:19">
      <c r="A18" s="4">
        <v>17</v>
      </c>
      <c r="B18" s="90">
        <f>IF(Match!B18="","",Match!B18)</f>
        <v>45913</v>
      </c>
      <c r="C18" s="469">
        <f t="shared" si="2"/>
        <v>7</v>
      </c>
      <c r="D18" s="59" t="str">
        <f>IF(Match!D21="","",Match!D21)</f>
        <v>League 1</v>
      </c>
      <c r="E18" s="58" t="str">
        <f>IF(Match!U18="","",Match!U18)</f>
        <v>Watford  v  Blackburn   29/20  11/5  9/5</v>
      </c>
      <c r="F18" s="58" t="str">
        <f>IF(Match!V18="","",Match!V18)</f>
        <v xml:space="preserve">Watford 0-1 Blackburn </v>
      </c>
      <c r="G18" s="32" t="str">
        <f t="shared" si="0"/>
        <v>Watford</v>
      </c>
      <c r="H18" s="33" t="str">
        <f t="shared" si="1"/>
        <v>29/20</v>
      </c>
      <c r="I18" s="173">
        <f t="shared" si="3"/>
        <v>2.4500000000000002</v>
      </c>
      <c r="J18" s="33">
        <f>INDEX(Picks!T:T,MATCH(G18,Picks!R:R,0))</f>
        <v>0</v>
      </c>
      <c r="K18" s="33">
        <f>IF(INDEX(Match!P:P,MATCH(A18,Match!A:A,0))="OFF",0,1)</f>
        <v>1</v>
      </c>
      <c r="L18" t="str">
        <f>INDEX(Match!Q:Q,MATCH(E18,Match!U:U,0))</f>
        <v>Watford</v>
      </c>
      <c r="M18" t="str">
        <f>INDEX(Match!X:X,MATCH(E18,Match!U:U,0))</f>
        <v>29/20</v>
      </c>
      <c r="N18" t="str">
        <f>INDEX(Match!R:R,MATCH(E18,Match!U:U,0))</f>
        <v>Blackburn</v>
      </c>
      <c r="O18" t="str">
        <f>INDEX(Match!Y:Y,MATCH(E18,Match!U:U,0))</f>
        <v>11/5</v>
      </c>
      <c r="P18" t="str">
        <f>INDEX(Match!Z:Z,MATCH(E18,Match!U:U,0))</f>
        <v>9/5</v>
      </c>
      <c r="Q18" s="170">
        <f>INDEX(Match!AA:AA,MATCH(E18,Match!U:U,0))</f>
        <v>2.4500000000000002</v>
      </c>
      <c r="R18" s="170">
        <f>INDEX(Match!AB:AB,MATCH(E18,Match!U:U,0))</f>
        <v>3.2</v>
      </c>
      <c r="S18" s="170">
        <f>INDEX(Match!AC:AC,MATCH(E18,Match!U:U,0))</f>
        <v>2.8</v>
      </c>
    </row>
    <row r="19" spans="1:19">
      <c r="A19" s="4">
        <v>18</v>
      </c>
      <c r="B19" s="90">
        <f>IF(Match!B19="","",Match!B19)</f>
        <v>45913</v>
      </c>
      <c r="C19" s="469">
        <f t="shared" si="2"/>
        <v>7</v>
      </c>
      <c r="D19" s="59" t="str">
        <f>IF(Match!D19="","",Match!D19)</f>
        <v>Champ</v>
      </c>
      <c r="E19" s="58" t="str">
        <f>IF(Match!U19="","",Match!U19)</f>
        <v>West Brom  v  Derby   4/5  12/5  7/2</v>
      </c>
      <c r="F19" s="58" t="str">
        <f>IF(Match!V19="","",Match!V19)</f>
        <v xml:space="preserve">West Brom 0-1 Derby </v>
      </c>
      <c r="G19" s="32" t="str">
        <f t="shared" si="0"/>
        <v>West Brom</v>
      </c>
      <c r="H19" s="33" t="str">
        <f t="shared" si="1"/>
        <v>4/5</v>
      </c>
      <c r="I19" s="173">
        <f t="shared" si="3"/>
        <v>1.8</v>
      </c>
      <c r="J19" s="33">
        <f>INDEX(Picks!T:T,MATCH(G19,Picks!R:R,0))</f>
        <v>0</v>
      </c>
      <c r="K19" s="33">
        <f>IF(INDEX(Match!P:P,MATCH(A19,Match!A:A,0))="OFF",0,1)</f>
        <v>1</v>
      </c>
      <c r="L19" t="str">
        <f>INDEX(Match!Q:Q,MATCH(E19,Match!U:U,0))</f>
        <v>West Brom</v>
      </c>
      <c r="M19" t="str">
        <f>INDEX(Match!X:X,MATCH(E19,Match!U:U,0))</f>
        <v>4/5</v>
      </c>
      <c r="N19" t="str">
        <f>INDEX(Match!R:R,MATCH(E19,Match!U:U,0))</f>
        <v>Derby</v>
      </c>
      <c r="O19" t="str">
        <f>INDEX(Match!Y:Y,MATCH(E19,Match!U:U,0))</f>
        <v>12/5</v>
      </c>
      <c r="P19" t="str">
        <f>INDEX(Match!Z:Z,MATCH(E19,Match!U:U,0))</f>
        <v>7/2</v>
      </c>
      <c r="Q19" s="170">
        <f>INDEX(Match!AA:AA,MATCH(E19,Match!U:U,0))</f>
        <v>1.8</v>
      </c>
      <c r="R19" s="170">
        <f>INDEX(Match!AB:AB,MATCH(E19,Match!U:U,0))</f>
        <v>3.4</v>
      </c>
      <c r="S19" s="170">
        <f>INDEX(Match!AC:AC,MATCH(E19,Match!U:U,0))</f>
        <v>4.5</v>
      </c>
    </row>
    <row r="20" spans="1:19">
      <c r="A20" s="4">
        <v>19</v>
      </c>
      <c r="B20" s="90">
        <f>IF(Match!B20="","",Match!B20)</f>
        <v>45913</v>
      </c>
      <c r="C20" s="469">
        <f t="shared" si="2"/>
        <v>7</v>
      </c>
      <c r="D20" s="59" t="str">
        <f>IF(Match!D20="","",Match!D20)</f>
        <v>Champ</v>
      </c>
      <c r="E20" s="58" t="str">
        <f>IF(Match!U20="","",Match!U20)</f>
        <v>Wrexham  v  QPR   17/20  23/10  3/1</v>
      </c>
      <c r="F20" s="58" t="str">
        <f>IF(Match!V20="","",Match!V20)</f>
        <v xml:space="preserve">Wrexham 1-3 QPR </v>
      </c>
      <c r="G20" s="32" t="str">
        <f t="shared" si="0"/>
        <v>Wrexham</v>
      </c>
      <c r="H20" s="33" t="str">
        <f t="shared" si="1"/>
        <v>17/20</v>
      </c>
      <c r="I20" s="173">
        <f t="shared" si="3"/>
        <v>1.85</v>
      </c>
      <c r="J20" s="33">
        <f>INDEX(Picks!T:T,MATCH(G20,Picks!R:R,0))</f>
        <v>0</v>
      </c>
      <c r="K20" s="33">
        <f>IF(INDEX(Match!P:P,MATCH(A20,Match!A:A,0))="OFF",0,1)</f>
        <v>1</v>
      </c>
      <c r="L20" t="str">
        <f>INDEX(Match!Q:Q,MATCH(E20,Match!U:U,0))</f>
        <v>Wrexham</v>
      </c>
      <c r="M20" t="str">
        <f>INDEX(Match!X:X,MATCH(E20,Match!U:U,0))</f>
        <v>17/20</v>
      </c>
      <c r="N20" t="str">
        <f>INDEX(Match!R:R,MATCH(E20,Match!U:U,0))</f>
        <v>QPR</v>
      </c>
      <c r="O20" t="str">
        <f>INDEX(Match!Y:Y,MATCH(E20,Match!U:U,0))</f>
        <v>23/10</v>
      </c>
      <c r="P20" t="str">
        <f>INDEX(Match!Z:Z,MATCH(E20,Match!U:U,0))</f>
        <v>3/1</v>
      </c>
      <c r="Q20" s="170">
        <f>INDEX(Match!AA:AA,MATCH(E20,Match!U:U,0))</f>
        <v>1.85</v>
      </c>
      <c r="R20" s="170">
        <f>INDEX(Match!AB:AB,MATCH(E20,Match!U:U,0))</f>
        <v>3.3</v>
      </c>
      <c r="S20" s="170">
        <f>INDEX(Match!AC:AC,MATCH(E20,Match!U:U,0))</f>
        <v>4</v>
      </c>
    </row>
    <row r="21" spans="1:19">
      <c r="A21" s="4">
        <v>20</v>
      </c>
      <c r="B21" s="90">
        <f>IF(Match!B21="","",Match!B21)</f>
        <v>45913</v>
      </c>
      <c r="C21" s="469">
        <f t="shared" si="2"/>
        <v>7</v>
      </c>
      <c r="D21" s="59" t="str">
        <f>IF(Match!D21="","",Match!D21)</f>
        <v>League 1</v>
      </c>
      <c r="E21" s="58" t="str">
        <f>IF(Match!U21="","",Match!U21)</f>
        <v>Barnsley  v  Reading   17/20  5/2  14/5</v>
      </c>
      <c r="F21" s="58" t="str">
        <f>IF(Match!V21="","",Match!V21)</f>
        <v xml:space="preserve">Barnsley 3-2 Reading </v>
      </c>
      <c r="G21" s="32" t="str">
        <f t="shared" si="0"/>
        <v>Barnsley</v>
      </c>
      <c r="H21" s="33" t="str">
        <f t="shared" si="1"/>
        <v>17/20</v>
      </c>
      <c r="I21" s="173">
        <f t="shared" si="3"/>
        <v>1.85</v>
      </c>
      <c r="J21" s="33">
        <f>INDEX(Picks!T:T,MATCH(G21,Picks!R:R,0))</f>
        <v>1</v>
      </c>
      <c r="K21" s="33">
        <f>IF(INDEX(Match!P:P,MATCH(A21,Match!A:A,0))="OFF",0,1)</f>
        <v>1</v>
      </c>
      <c r="L21" t="str">
        <f>INDEX(Match!Q:Q,MATCH(E21,Match!U:U,0))</f>
        <v>Barnsley</v>
      </c>
      <c r="M21" t="str">
        <f>INDEX(Match!X:X,MATCH(E21,Match!U:U,0))</f>
        <v>17/20</v>
      </c>
      <c r="N21" t="str">
        <f>INDEX(Match!R:R,MATCH(E21,Match!U:U,0))</f>
        <v>Reading</v>
      </c>
      <c r="O21" t="str">
        <f>INDEX(Match!Y:Y,MATCH(E21,Match!U:U,0))</f>
        <v>5/2</v>
      </c>
      <c r="P21" t="str">
        <f>INDEX(Match!Z:Z,MATCH(E21,Match!U:U,0))</f>
        <v>14/5</v>
      </c>
      <c r="Q21" s="170">
        <f>INDEX(Match!AA:AA,MATCH(E21,Match!U:U,0))</f>
        <v>1.85</v>
      </c>
      <c r="R21" s="170">
        <f>INDEX(Match!AB:AB,MATCH(E21,Match!U:U,0))</f>
        <v>3.5</v>
      </c>
      <c r="S21" s="170">
        <f>INDEX(Match!AC:AC,MATCH(E21,Match!U:U,0))</f>
        <v>3.8</v>
      </c>
    </row>
    <row r="22" spans="1:19">
      <c r="A22" s="4">
        <v>21</v>
      </c>
      <c r="B22" s="90">
        <f>IF(Match!B22="","",Match!B22)</f>
        <v>45913</v>
      </c>
      <c r="C22" s="469">
        <f t="shared" si="2"/>
        <v>7</v>
      </c>
      <c r="D22" s="59" t="str">
        <f>IF(Match!D22="","",Match!D22)</f>
        <v>League 1</v>
      </c>
      <c r="E22" s="58" t="str">
        <f>IF(Match!U22="","",Match!U22)</f>
        <v>Bradford  v  Huddersfield   7/5  11/5  9/5</v>
      </c>
      <c r="F22" s="58" t="str">
        <f>IF(Match!V22="","",Match!V22)</f>
        <v xml:space="preserve">Bradford 3-1 Huddersfield </v>
      </c>
      <c r="G22" s="32" t="str">
        <f t="shared" si="0"/>
        <v>Bradford</v>
      </c>
      <c r="H22" s="33" t="str">
        <f t="shared" si="1"/>
        <v>7/5</v>
      </c>
      <c r="I22" s="173">
        <f t="shared" si="3"/>
        <v>2.4</v>
      </c>
      <c r="J22" s="33">
        <f>INDEX(Picks!T:T,MATCH(G22,Picks!R:R,0))</f>
        <v>1</v>
      </c>
      <c r="K22" s="33">
        <f>IF(INDEX(Match!P:P,MATCH(A22,Match!A:A,0))="OFF",0,1)</f>
        <v>1</v>
      </c>
      <c r="L22" t="str">
        <f>INDEX(Match!Q:Q,MATCH(E22,Match!U:U,0))</f>
        <v>Bradford</v>
      </c>
      <c r="M22" t="str">
        <f>INDEX(Match!X:X,MATCH(E22,Match!U:U,0))</f>
        <v>7/5</v>
      </c>
      <c r="N22" t="str">
        <f>INDEX(Match!R:R,MATCH(E22,Match!U:U,0))</f>
        <v>Huddersfield</v>
      </c>
      <c r="O22" t="str">
        <f>INDEX(Match!Y:Y,MATCH(E22,Match!U:U,0))</f>
        <v>11/5</v>
      </c>
      <c r="P22" t="str">
        <f>INDEX(Match!Z:Z,MATCH(E22,Match!U:U,0))</f>
        <v>9/5</v>
      </c>
      <c r="Q22" s="170">
        <f>INDEX(Match!AA:AA,MATCH(E22,Match!U:U,0))</f>
        <v>2.4</v>
      </c>
      <c r="R22" s="170">
        <f>INDEX(Match!AB:AB,MATCH(E22,Match!U:U,0))</f>
        <v>3.2</v>
      </c>
      <c r="S22" s="170">
        <f>INDEX(Match!AC:AC,MATCH(E22,Match!U:U,0))</f>
        <v>2.8</v>
      </c>
    </row>
    <row r="23" spans="1:19">
      <c r="A23" s="4">
        <v>22</v>
      </c>
      <c r="B23" s="90">
        <f>IF(Match!B23="","",Match!B23)</f>
        <v>45913</v>
      </c>
      <c r="C23" s="469">
        <f t="shared" si="2"/>
        <v>7</v>
      </c>
      <c r="D23" s="59" t="str">
        <f>IF(Match!D23="","",Match!D23)</f>
        <v>League 1</v>
      </c>
      <c r="E23" s="58" t="str">
        <f>IF(Match!U23="","",Match!U23)</f>
        <v>Burton  v  Lincoln   19/10  2/1  7/5</v>
      </c>
      <c r="F23" s="58" t="str">
        <f>IF(Match!V23="","",Match!V23)</f>
        <v xml:space="preserve">Burton 0-1 Lincoln </v>
      </c>
      <c r="G23" s="32" t="str">
        <f t="shared" si="0"/>
        <v>Burton</v>
      </c>
      <c r="H23" s="33" t="str">
        <f t="shared" si="1"/>
        <v>19/10</v>
      </c>
      <c r="I23" s="173">
        <f t="shared" si="3"/>
        <v>2.9</v>
      </c>
      <c r="J23" s="33">
        <f>INDEX(Picks!T:T,MATCH(G23,Picks!R:R,0))</f>
        <v>0</v>
      </c>
      <c r="K23" s="33">
        <f>IF(INDEX(Match!P:P,MATCH(A23,Match!A:A,0))="OFF",0,1)</f>
        <v>1</v>
      </c>
      <c r="L23" t="str">
        <f>INDEX(Match!Q:Q,MATCH(E23,Match!U:U,0))</f>
        <v>Burton</v>
      </c>
      <c r="M23" t="str">
        <f>INDEX(Match!X:X,MATCH(E23,Match!U:U,0))</f>
        <v>19/10</v>
      </c>
      <c r="N23" t="str">
        <f>INDEX(Match!R:R,MATCH(E23,Match!U:U,0))</f>
        <v>Lincoln</v>
      </c>
      <c r="O23" t="str">
        <f>INDEX(Match!Y:Y,MATCH(E23,Match!U:U,0))</f>
        <v>2/1</v>
      </c>
      <c r="P23" t="str">
        <f>INDEX(Match!Z:Z,MATCH(E23,Match!U:U,0))</f>
        <v>7/5</v>
      </c>
      <c r="Q23" s="170">
        <f>INDEX(Match!AA:AA,MATCH(E23,Match!U:U,0))</f>
        <v>2.9</v>
      </c>
      <c r="R23" s="170">
        <f>INDEX(Match!AB:AB,MATCH(E23,Match!U:U,0))</f>
        <v>3</v>
      </c>
      <c r="S23" s="170">
        <f>INDEX(Match!AC:AC,MATCH(E23,Match!U:U,0))</f>
        <v>2.4</v>
      </c>
    </row>
    <row r="24" spans="1:19">
      <c r="A24" s="4">
        <v>23</v>
      </c>
      <c r="B24" s="90">
        <f>IF(Match!B24="","",Match!B24)</f>
        <v>45913</v>
      </c>
      <c r="C24" s="469">
        <f t="shared" si="2"/>
        <v>7</v>
      </c>
      <c r="D24" s="59" t="str">
        <f>IF(Match!D24="","",Match!D24)</f>
        <v>League 1</v>
      </c>
      <c r="E24" s="58" t="str">
        <f>IF(Match!U24="","",Match!U24)</f>
        <v>Exeter  v  Port Vale   7/4  21/10  6/4</v>
      </c>
      <c r="F24" s="58" t="str">
        <f>IF(Match!V24="","",Match!V24)</f>
        <v xml:space="preserve">Exeter 0-2 Port Vale </v>
      </c>
      <c r="G24" s="32" t="str">
        <f t="shared" si="0"/>
        <v>Exeter</v>
      </c>
      <c r="H24" s="33" t="str">
        <f t="shared" si="1"/>
        <v>7/4</v>
      </c>
      <c r="I24" s="173">
        <f t="shared" si="3"/>
        <v>2.75</v>
      </c>
      <c r="J24" s="33">
        <f>INDEX(Picks!T:T,MATCH(G24,Picks!R:R,0))</f>
        <v>0</v>
      </c>
      <c r="K24" s="33">
        <f>IF(INDEX(Match!P:P,MATCH(A24,Match!A:A,0))="OFF",0,1)</f>
        <v>1</v>
      </c>
      <c r="L24" t="str">
        <f>INDEX(Match!Q:Q,MATCH(E24,Match!U:U,0))</f>
        <v>Exeter</v>
      </c>
      <c r="M24" t="str">
        <f>INDEX(Match!X:X,MATCH(E24,Match!U:U,0))</f>
        <v>7/4</v>
      </c>
      <c r="N24" t="str">
        <f>INDEX(Match!R:R,MATCH(E24,Match!U:U,0))</f>
        <v>Port Vale</v>
      </c>
      <c r="O24" t="str">
        <f>INDEX(Match!Y:Y,MATCH(E24,Match!U:U,0))</f>
        <v>21/10</v>
      </c>
      <c r="P24" t="str">
        <f>INDEX(Match!Z:Z,MATCH(E24,Match!U:U,0))</f>
        <v>6/4</v>
      </c>
      <c r="Q24" s="170">
        <f>INDEX(Match!AA:AA,MATCH(E24,Match!U:U,0))</f>
        <v>2.75</v>
      </c>
      <c r="R24" s="170">
        <f>INDEX(Match!AB:AB,MATCH(E24,Match!U:U,0))</f>
        <v>3.1</v>
      </c>
      <c r="S24" s="170">
        <f>INDEX(Match!AC:AC,MATCH(E24,Match!U:U,0))</f>
        <v>2.5</v>
      </c>
    </row>
    <row r="25" spans="1:19">
      <c r="A25" s="4">
        <v>24</v>
      </c>
      <c r="B25" s="90">
        <f>IF(Match!B25="","",Match!B25)</f>
        <v>45913</v>
      </c>
      <c r="C25" s="469">
        <f t="shared" si="2"/>
        <v>7</v>
      </c>
      <c r="D25" s="59" t="str">
        <f>IF(Match!D25="","",Match!D25)</f>
        <v>League 1</v>
      </c>
      <c r="E25" s="58" t="str">
        <f>IF(Match!U25="","",Match!U25)</f>
        <v>Luton  v  Plymouth   1/2  3/1  5/1</v>
      </c>
      <c r="F25" s="58" t="str">
        <f>IF(Match!V25="","",Match!V25)</f>
        <v xml:space="preserve">Luton 2-3 Plymouth </v>
      </c>
      <c r="G25" s="32" t="str">
        <f t="shared" si="0"/>
        <v>Luton</v>
      </c>
      <c r="H25" s="33" t="str">
        <f t="shared" si="1"/>
        <v>1/2</v>
      </c>
      <c r="I25" s="173">
        <f t="shared" si="3"/>
        <v>1.5</v>
      </c>
      <c r="J25" s="33">
        <f>INDEX(Picks!T:T,MATCH(G25,Picks!R:R,0))</f>
        <v>0</v>
      </c>
      <c r="K25" s="33">
        <f>IF(INDEX(Match!P:P,MATCH(A25,Match!A:A,0))="OFF",0,1)</f>
        <v>1</v>
      </c>
      <c r="L25" t="str">
        <f>INDEX(Match!Q:Q,MATCH(E25,Match!U:U,0))</f>
        <v>Luton</v>
      </c>
      <c r="M25" t="str">
        <f>INDEX(Match!X:X,MATCH(E25,Match!U:U,0))</f>
        <v>1/2</v>
      </c>
      <c r="N25" t="str">
        <f>INDEX(Match!R:R,MATCH(E25,Match!U:U,0))</f>
        <v>Plymouth</v>
      </c>
      <c r="O25" t="str">
        <f>INDEX(Match!Y:Y,MATCH(E25,Match!U:U,0))</f>
        <v>3/1</v>
      </c>
      <c r="P25" t="str">
        <f>INDEX(Match!Z:Z,MATCH(E25,Match!U:U,0))</f>
        <v>5/1</v>
      </c>
      <c r="Q25" s="170">
        <f>INDEX(Match!AA:AA,MATCH(E25,Match!U:U,0))</f>
        <v>1.5</v>
      </c>
      <c r="R25" s="170">
        <f>INDEX(Match!AB:AB,MATCH(E25,Match!U:U,0))</f>
        <v>4</v>
      </c>
      <c r="S25" s="170">
        <f>INDEX(Match!AC:AC,MATCH(E25,Match!U:U,0))</f>
        <v>6</v>
      </c>
    </row>
    <row r="26" spans="1:19">
      <c r="A26" s="4">
        <v>25</v>
      </c>
      <c r="B26" s="90">
        <f>IF(Match!B26="","",Match!B26)</f>
        <v>45913</v>
      </c>
      <c r="C26" s="469">
        <f t="shared" si="2"/>
        <v>7</v>
      </c>
      <c r="D26" s="59" t="str">
        <f>IF(Match!D26="","",Match!D26)</f>
        <v>League 1</v>
      </c>
      <c r="E26" s="58" t="str">
        <f>IF(Match!U26="","",Match!U26)</f>
        <v>Mansfield  v  Stevenage   6/4  2/1  9/5</v>
      </c>
      <c r="F26" s="58" t="str">
        <f>IF(Match!V26="","",Match!V26)</f>
        <v xml:space="preserve">Mansfield 1-1 Stevenage </v>
      </c>
      <c r="G26" s="32" t="str">
        <f t="shared" si="0"/>
        <v>Mansfield</v>
      </c>
      <c r="H26" s="33" t="str">
        <f t="shared" si="1"/>
        <v>6/4</v>
      </c>
      <c r="I26" s="173">
        <f t="shared" si="3"/>
        <v>2.5</v>
      </c>
      <c r="J26" s="33">
        <f>INDEX(Picks!T:T,MATCH(G26,Picks!R:R,0))</f>
        <v>0</v>
      </c>
      <c r="K26" s="33">
        <f>IF(INDEX(Match!P:P,MATCH(A26,Match!A:A,0))="OFF",0,1)</f>
        <v>1</v>
      </c>
      <c r="L26" t="str">
        <f>INDEX(Match!Q:Q,MATCH(E26,Match!U:U,0))</f>
        <v>Mansfield</v>
      </c>
      <c r="M26" t="str">
        <f>INDEX(Match!X:X,MATCH(E26,Match!U:U,0))</f>
        <v>6/4</v>
      </c>
      <c r="N26" t="str">
        <f>INDEX(Match!R:R,MATCH(E26,Match!U:U,0))</f>
        <v>Stevenage</v>
      </c>
      <c r="O26" t="str">
        <f>INDEX(Match!Y:Y,MATCH(E26,Match!U:U,0))</f>
        <v>2/1</v>
      </c>
      <c r="P26" t="str">
        <f>INDEX(Match!Z:Z,MATCH(E26,Match!U:U,0))</f>
        <v>9/5</v>
      </c>
      <c r="Q26" s="170">
        <f>INDEX(Match!AA:AA,MATCH(E26,Match!U:U,0))</f>
        <v>2.5</v>
      </c>
      <c r="R26" s="170">
        <f>INDEX(Match!AB:AB,MATCH(E26,Match!U:U,0))</f>
        <v>3</v>
      </c>
      <c r="S26" s="170">
        <f>INDEX(Match!AC:AC,MATCH(E26,Match!U:U,0))</f>
        <v>2.8</v>
      </c>
    </row>
    <row r="27" spans="1:19">
      <c r="A27" s="4">
        <v>26</v>
      </c>
      <c r="B27" s="90">
        <f>IF(Match!B27="","",Match!B27)</f>
        <v>45913</v>
      </c>
      <c r="C27" s="469">
        <f t="shared" si="2"/>
        <v>7</v>
      </c>
      <c r="D27" s="59" t="str">
        <f>IF(Match!D27="","",Match!D27)</f>
        <v>League 1</v>
      </c>
      <c r="E27" s="58" t="str">
        <f>IF(Match!U27="","",Match!U27)</f>
        <v>Northampton  v  Blackpool   13/8  21/10  13/8</v>
      </c>
      <c r="F27" s="58" t="str">
        <f>IF(Match!V27="","",Match!V27)</f>
        <v xml:space="preserve">Northampton 1-0 Blackpool </v>
      </c>
      <c r="G27" s="32" t="str">
        <f t="shared" si="0"/>
        <v>Northampton</v>
      </c>
      <c r="H27" s="33" t="str">
        <f t="shared" si="1"/>
        <v>13/8</v>
      </c>
      <c r="I27" s="173">
        <f t="shared" si="3"/>
        <v>2.625</v>
      </c>
      <c r="J27" s="33">
        <f>INDEX(Picks!T:T,MATCH(G27,Picks!R:R,0))</f>
        <v>1</v>
      </c>
      <c r="K27" s="33">
        <f>IF(INDEX(Match!P:P,MATCH(A27,Match!A:A,0))="OFF",0,1)</f>
        <v>1</v>
      </c>
      <c r="L27" t="str">
        <f>INDEX(Match!Q:Q,MATCH(E27,Match!U:U,0))</f>
        <v>Northampton</v>
      </c>
      <c r="M27" t="str">
        <f>INDEX(Match!X:X,MATCH(E27,Match!U:U,0))</f>
        <v>13/8</v>
      </c>
      <c r="N27" t="str">
        <f>INDEX(Match!R:R,MATCH(E27,Match!U:U,0))</f>
        <v>Blackpool</v>
      </c>
      <c r="O27" t="str">
        <f>INDEX(Match!Y:Y,MATCH(E27,Match!U:U,0))</f>
        <v>21/10</v>
      </c>
      <c r="P27" t="str">
        <f>INDEX(Match!Z:Z,MATCH(E27,Match!U:U,0))</f>
        <v>13/8</v>
      </c>
      <c r="Q27" s="170">
        <f>INDEX(Match!AA:AA,MATCH(E27,Match!U:U,0))</f>
        <v>2.625</v>
      </c>
      <c r="R27" s="170">
        <f>INDEX(Match!AB:AB,MATCH(E27,Match!U:U,0))</f>
        <v>3.1</v>
      </c>
      <c r="S27" s="170">
        <f>INDEX(Match!AC:AC,MATCH(E27,Match!U:U,0))</f>
        <v>2.625</v>
      </c>
    </row>
    <row r="28" spans="1:19">
      <c r="A28" s="4">
        <v>27</v>
      </c>
      <c r="B28" s="90">
        <f>IF(Match!B28="","",Match!B28)</f>
        <v>45913</v>
      </c>
      <c r="C28" s="469">
        <f t="shared" si="2"/>
        <v>7</v>
      </c>
      <c r="D28" s="59" t="str">
        <f>IF(Match!D28="","",Match!D28)</f>
        <v>League 1</v>
      </c>
      <c r="E28" s="58" t="str">
        <f>IF(Match!U28="","",Match!U28)</f>
        <v>Orient  v  Bolton   19/10  23/10  13/10</v>
      </c>
      <c r="F28" s="58" t="str">
        <f>IF(Match!V28="","",Match!V28)</f>
        <v xml:space="preserve">Orient 1-1 Bolton </v>
      </c>
      <c r="G28" s="32" t="str">
        <f t="shared" si="0"/>
        <v>Orient</v>
      </c>
      <c r="H28" s="33" t="str">
        <f t="shared" si="1"/>
        <v>19/10</v>
      </c>
      <c r="I28" s="173">
        <f t="shared" si="3"/>
        <v>2.9</v>
      </c>
      <c r="J28" s="33">
        <f>INDEX(Picks!T:T,MATCH(G28,Picks!R:R,0))</f>
        <v>0</v>
      </c>
      <c r="K28" s="33">
        <f>IF(INDEX(Match!P:P,MATCH(A28,Match!A:A,0))="OFF",0,1)</f>
        <v>1</v>
      </c>
      <c r="L28" t="str">
        <f>INDEX(Match!Q:Q,MATCH(E28,Match!U:U,0))</f>
        <v>Orient</v>
      </c>
      <c r="M28" t="str">
        <f>INDEX(Match!X:X,MATCH(E28,Match!U:U,0))</f>
        <v>19/10</v>
      </c>
      <c r="N28" t="str">
        <f>INDEX(Match!R:R,MATCH(E28,Match!U:U,0))</f>
        <v>Bolton</v>
      </c>
      <c r="O28" t="str">
        <f>INDEX(Match!Y:Y,MATCH(E28,Match!U:U,0))</f>
        <v>23/10</v>
      </c>
      <c r="P28" t="str">
        <f>INDEX(Match!Z:Z,MATCH(E28,Match!U:U,0))</f>
        <v>13/10</v>
      </c>
      <c r="Q28" s="170">
        <f>INDEX(Match!AA:AA,MATCH(E28,Match!U:U,0))</f>
        <v>2.9</v>
      </c>
      <c r="R28" s="170">
        <f>INDEX(Match!AB:AB,MATCH(E28,Match!U:U,0))</f>
        <v>3.3</v>
      </c>
      <c r="S28" s="170">
        <f>INDEX(Match!AC:AC,MATCH(E28,Match!U:U,0))</f>
        <v>2.2999999999999998</v>
      </c>
    </row>
    <row r="29" spans="1:19">
      <c r="A29" s="4">
        <v>28</v>
      </c>
      <c r="B29" s="90">
        <f>IF(Match!B29="","",Match!B29)</f>
        <v>45913</v>
      </c>
      <c r="C29" s="469">
        <f t="shared" si="2"/>
        <v>7</v>
      </c>
      <c r="D29" s="59" t="str">
        <f>IF(Match!D29="","",Match!D29)</f>
        <v>League 1</v>
      </c>
      <c r="E29" s="58" t="str">
        <f>IF(Match!U29="","",Match!U29)</f>
        <v>Peterbro  v  Wycombe   21/10  23/10  23/20</v>
      </c>
      <c r="F29" s="58" t="str">
        <f>IF(Match!V29="","",Match!V29)</f>
        <v xml:space="preserve">Peterbro 2-1 Wycombe </v>
      </c>
      <c r="G29" s="32" t="str">
        <f t="shared" si="0"/>
        <v>Peterbro</v>
      </c>
      <c r="H29" s="33" t="str">
        <f t="shared" si="1"/>
        <v>21/10</v>
      </c>
      <c r="I29" s="173">
        <f t="shared" si="3"/>
        <v>3.1</v>
      </c>
      <c r="J29" s="33">
        <f>INDEX(Picks!T:T,MATCH(G29,Picks!R:R,0))</f>
        <v>1</v>
      </c>
      <c r="K29" s="33">
        <f>IF(INDEX(Match!P:P,MATCH(A29,Match!A:A,0))="OFF",0,1)</f>
        <v>1</v>
      </c>
      <c r="L29" t="str">
        <f>INDEX(Match!Q:Q,MATCH(E29,Match!U:U,0))</f>
        <v>Peterbro</v>
      </c>
      <c r="M29" t="str">
        <f>INDEX(Match!X:X,MATCH(E29,Match!U:U,0))</f>
        <v>21/10</v>
      </c>
      <c r="N29" t="str">
        <f>INDEX(Match!R:R,MATCH(E29,Match!U:U,0))</f>
        <v>Wycombe</v>
      </c>
      <c r="O29" t="str">
        <f>INDEX(Match!Y:Y,MATCH(E29,Match!U:U,0))</f>
        <v>23/10</v>
      </c>
      <c r="P29" t="str">
        <f>INDEX(Match!Z:Z,MATCH(E29,Match!U:U,0))</f>
        <v>23/20</v>
      </c>
      <c r="Q29" s="170">
        <f>INDEX(Match!AA:AA,MATCH(E29,Match!U:U,0))</f>
        <v>3.1</v>
      </c>
      <c r="R29" s="170">
        <f>INDEX(Match!AB:AB,MATCH(E29,Match!U:U,0))</f>
        <v>3.3</v>
      </c>
      <c r="S29" s="170">
        <f>INDEX(Match!AC:AC,MATCH(E29,Match!U:U,0))</f>
        <v>2.15</v>
      </c>
    </row>
    <row r="30" spans="1:19">
      <c r="A30" s="4">
        <v>29</v>
      </c>
      <c r="B30" s="90">
        <f>IF(Match!B30="","",Match!B30)</f>
        <v>45913</v>
      </c>
      <c r="C30" s="469">
        <f t="shared" si="2"/>
        <v>7</v>
      </c>
      <c r="D30" s="59" t="str">
        <f>IF(Match!D30="","",Match!D30)</f>
        <v>League 1</v>
      </c>
      <c r="E30" s="58" t="str">
        <f>IF(Match!U30="","",Match!U30)</f>
        <v>Stockport  v  Cardiff   13/8  11/5  6/4</v>
      </c>
      <c r="F30" s="58" t="str">
        <f>IF(Match!V30="","",Match!V30)</f>
        <v xml:space="preserve">Stockport 1-1 Cardiff </v>
      </c>
      <c r="G30" s="32" t="str">
        <f t="shared" si="0"/>
        <v>Stockport</v>
      </c>
      <c r="H30" s="33" t="str">
        <f t="shared" si="1"/>
        <v>13/8</v>
      </c>
      <c r="I30" s="173">
        <f t="shared" si="3"/>
        <v>2.625</v>
      </c>
      <c r="J30" s="33">
        <f>INDEX(Picks!T:T,MATCH(G30,Picks!R:R,0))</f>
        <v>0</v>
      </c>
      <c r="K30" s="33">
        <f>IF(INDEX(Match!P:P,MATCH(A30,Match!A:A,0))="OFF",0,1)</f>
        <v>1</v>
      </c>
      <c r="L30" t="str">
        <f>INDEX(Match!Q:Q,MATCH(E30,Match!U:U,0))</f>
        <v>Stockport</v>
      </c>
      <c r="M30" t="str">
        <f>INDEX(Match!X:X,MATCH(E30,Match!U:U,0))</f>
        <v>13/8</v>
      </c>
      <c r="N30" t="str">
        <f>INDEX(Match!R:R,MATCH(E30,Match!U:U,0))</f>
        <v>Cardiff</v>
      </c>
      <c r="O30" t="str">
        <f>INDEX(Match!Y:Y,MATCH(E30,Match!U:U,0))</f>
        <v>11/5</v>
      </c>
      <c r="P30" t="str">
        <f>INDEX(Match!Z:Z,MATCH(E30,Match!U:U,0))</f>
        <v>6/4</v>
      </c>
      <c r="Q30" s="170">
        <f>INDEX(Match!AA:AA,MATCH(E30,Match!U:U,0))</f>
        <v>2.625</v>
      </c>
      <c r="R30" s="170">
        <f>INDEX(Match!AB:AB,MATCH(E30,Match!U:U,0))</f>
        <v>3.2</v>
      </c>
      <c r="S30" s="170">
        <f>INDEX(Match!AC:AC,MATCH(E30,Match!U:U,0))</f>
        <v>2.5</v>
      </c>
    </row>
    <row r="31" spans="1:19">
      <c r="A31" s="4">
        <v>30</v>
      </c>
      <c r="B31" s="90">
        <f>IF(Match!B31="","",Match!B31)</f>
        <v>45913</v>
      </c>
      <c r="C31" s="469">
        <f t="shared" si="2"/>
        <v>7</v>
      </c>
      <c r="D31" s="59" t="str">
        <f>IF(Match!D31="","",Match!D31)</f>
        <v>League 1</v>
      </c>
      <c r="E31" s="58" t="str">
        <f>IF(Match!U31="","",Match!U31)</f>
        <v>Wigan  v  Doncaster   8/5  2/1  7/4</v>
      </c>
      <c r="F31" s="58" t="str">
        <f>IF(Match!V31="","",Match!V31)</f>
        <v xml:space="preserve">Wigan 3-0 Doncaster </v>
      </c>
      <c r="G31" s="32" t="str">
        <f t="shared" si="0"/>
        <v>Wigan</v>
      </c>
      <c r="H31" s="33" t="str">
        <f t="shared" si="1"/>
        <v>8/5</v>
      </c>
      <c r="I31" s="173">
        <f t="shared" si="3"/>
        <v>2.6</v>
      </c>
      <c r="J31" s="33">
        <f>INDEX(Picks!T:T,MATCH(G31,Picks!R:R,0))</f>
        <v>1</v>
      </c>
      <c r="K31" s="33">
        <f>IF(INDEX(Match!P:P,MATCH(A31,Match!A:A,0))="OFF",0,1)</f>
        <v>1</v>
      </c>
      <c r="L31" t="str">
        <f>INDEX(Match!Q:Q,MATCH(E31,Match!U:U,0))</f>
        <v>Wigan</v>
      </c>
      <c r="M31" t="str">
        <f>INDEX(Match!X:X,MATCH(E31,Match!U:U,0))</f>
        <v>8/5</v>
      </c>
      <c r="N31" t="str">
        <f>INDEX(Match!R:R,MATCH(E31,Match!U:U,0))</f>
        <v>Doncaster</v>
      </c>
      <c r="O31" t="str">
        <f>INDEX(Match!Y:Y,MATCH(E31,Match!U:U,0))</f>
        <v>2/1</v>
      </c>
      <c r="P31" t="str">
        <f>INDEX(Match!Z:Z,MATCH(E31,Match!U:U,0))</f>
        <v>7/4</v>
      </c>
      <c r="Q31" s="170">
        <f>INDEX(Match!AA:AA,MATCH(E31,Match!U:U,0))</f>
        <v>2.6</v>
      </c>
      <c r="R31" s="170">
        <f>INDEX(Match!AB:AB,MATCH(E31,Match!U:U,0))</f>
        <v>3</v>
      </c>
      <c r="S31" s="170">
        <f>INDEX(Match!AC:AC,MATCH(E31,Match!U:U,0))</f>
        <v>2.75</v>
      </c>
    </row>
    <row r="32" spans="1:19">
      <c r="A32" s="4">
        <v>31</v>
      </c>
      <c r="B32" s="90">
        <f>IF(Match!B32="","",Match!B32)</f>
        <v>45913</v>
      </c>
      <c r="C32" s="469">
        <f t="shared" si="2"/>
        <v>7</v>
      </c>
      <c r="D32" s="59" t="str">
        <f>IF(Match!D32="","",Match!D32)</f>
        <v>League 1</v>
      </c>
      <c r="E32" s="58" t="str">
        <f>IF(Match!U32="","",Match!U32)</f>
        <v>Wimbledon  v  Rotherham   23/20  21/10  13/8</v>
      </c>
      <c r="F32" s="58" t="str">
        <f>IF(Match!V32="","",Match!V32)</f>
        <v xml:space="preserve">Wimbledon 2-1 Rotherham </v>
      </c>
      <c r="G32" s="32" t="str">
        <f t="shared" si="0"/>
        <v>Wimbledon</v>
      </c>
      <c r="H32" s="33" t="str">
        <f t="shared" si="1"/>
        <v>23/20</v>
      </c>
      <c r="I32" s="173">
        <f t="shared" si="3"/>
        <v>2.15</v>
      </c>
      <c r="J32" s="33">
        <f>INDEX(Picks!T:T,MATCH(G32,Picks!R:R,0))</f>
        <v>1</v>
      </c>
      <c r="K32" s="33">
        <f>IF(INDEX(Match!P:P,MATCH(A32,Match!A:A,0))="OFF",0,1)</f>
        <v>1</v>
      </c>
      <c r="L32" t="str">
        <f>INDEX(Match!Q:Q,MATCH(E32,Match!U:U,0))</f>
        <v>Wimbledon</v>
      </c>
      <c r="M32" t="str">
        <f>INDEX(Match!X:X,MATCH(E32,Match!U:U,0))</f>
        <v>23/20</v>
      </c>
      <c r="N32" t="str">
        <f>INDEX(Match!R:R,MATCH(E32,Match!U:U,0))</f>
        <v>Rotherham</v>
      </c>
      <c r="O32" t="str">
        <f>INDEX(Match!Y:Y,MATCH(E32,Match!U:U,0))</f>
        <v>21/10</v>
      </c>
      <c r="P32" t="str">
        <f>INDEX(Match!Z:Z,MATCH(E32,Match!U:U,0))</f>
        <v>13/8</v>
      </c>
      <c r="Q32" s="170">
        <f>INDEX(Match!AA:AA,MATCH(E32,Match!U:U,0))</f>
        <v>2.15</v>
      </c>
      <c r="R32" s="170">
        <f>INDEX(Match!AB:AB,MATCH(E32,Match!U:U,0))</f>
        <v>3.1</v>
      </c>
      <c r="S32" s="170">
        <f>INDEX(Match!AC:AC,MATCH(E32,Match!U:U,0))</f>
        <v>2.625</v>
      </c>
    </row>
    <row r="33" spans="1:19">
      <c r="A33" s="4">
        <v>32</v>
      </c>
      <c r="B33" s="90">
        <f>IF(Match!B33="","",Match!B33)</f>
        <v>45913</v>
      </c>
      <c r="C33" s="469">
        <f t="shared" si="2"/>
        <v>7</v>
      </c>
      <c r="D33" s="59" t="str">
        <f>IF(Match!D33="","",Match!D33)</f>
        <v>League 2</v>
      </c>
      <c r="E33" s="58" t="str">
        <f>IF(Match!U33="","",Match!U33)</f>
        <v>Accrington  v  Colchester   9/5  2/1  6/4</v>
      </c>
      <c r="F33" s="58" t="str">
        <f>IF(Match!V33="","",Match!V33)</f>
        <v xml:space="preserve">Accrington 1-0 Colchester </v>
      </c>
      <c r="G33" s="32" t="str">
        <f t="shared" ref="G33:G46" si="4">IF(E33="","",L33)</f>
        <v>Accrington</v>
      </c>
      <c r="H33" s="33" t="str">
        <f t="shared" si="1"/>
        <v>9/5</v>
      </c>
      <c r="I33" s="173">
        <f t="shared" si="3"/>
        <v>2.8</v>
      </c>
      <c r="J33" s="33">
        <f>INDEX(Picks!T:T,MATCH(G33,Picks!R:R,0))</f>
        <v>1</v>
      </c>
      <c r="K33" s="33">
        <f>IF(INDEX(Match!P:P,MATCH(A33,Match!A:A,0))="OFF",0,1)</f>
        <v>1</v>
      </c>
      <c r="L33" t="str">
        <f>INDEX(Match!Q:Q,MATCH(E33,Match!U:U,0))</f>
        <v>Accrington</v>
      </c>
      <c r="M33" t="str">
        <f>INDEX(Match!X:X,MATCH(E33,Match!U:U,0))</f>
        <v>9/5</v>
      </c>
      <c r="N33" t="str">
        <f>INDEX(Match!R:R,MATCH(E33,Match!U:U,0))</f>
        <v>Colchester</v>
      </c>
      <c r="O33" t="str">
        <f>INDEX(Match!Y:Y,MATCH(E33,Match!U:U,0))</f>
        <v>2/1</v>
      </c>
      <c r="P33" t="str">
        <f>INDEX(Match!Z:Z,MATCH(E33,Match!U:U,0))</f>
        <v>6/4</v>
      </c>
      <c r="Q33" s="170">
        <f>INDEX(Match!AA:AA,MATCH(E33,Match!U:U,0))</f>
        <v>2.8</v>
      </c>
      <c r="R33" s="170">
        <f>INDEX(Match!AB:AB,MATCH(E33,Match!U:U,0))</f>
        <v>3</v>
      </c>
      <c r="S33" s="170">
        <f>INDEX(Match!AC:AC,MATCH(E33,Match!U:U,0))</f>
        <v>2.5</v>
      </c>
    </row>
    <row r="34" spans="1:19">
      <c r="A34" s="4">
        <v>33</v>
      </c>
      <c r="B34" s="90">
        <f>IF(Match!B34="","",Match!B34)</f>
        <v>45913</v>
      </c>
      <c r="C34" s="469">
        <f t="shared" si="2"/>
        <v>7</v>
      </c>
      <c r="D34" s="59" t="str">
        <f>IF(Match!D34="","",Match!D34)</f>
        <v>League 2</v>
      </c>
      <c r="E34" s="58" t="str">
        <f>IF(Match!U34="","",Match!U34)</f>
        <v>Bristol R  v  Barrow   1/1  21/10  14/5</v>
      </c>
      <c r="F34" s="58" t="str">
        <f>IF(Match!V34="","",Match!V34)</f>
        <v xml:space="preserve">Bristol R 2-1 Barrow </v>
      </c>
      <c r="G34" s="32" t="str">
        <f t="shared" si="4"/>
        <v>Bristol R</v>
      </c>
      <c r="H34" s="33" t="str">
        <f t="shared" si="1"/>
        <v>1/1</v>
      </c>
      <c r="I34" s="173">
        <f t="shared" si="3"/>
        <v>2</v>
      </c>
      <c r="J34" s="33">
        <f>INDEX(Picks!T:T,MATCH(G34,Picks!R:R,0))</f>
        <v>1</v>
      </c>
      <c r="K34" s="33">
        <f>IF(INDEX(Match!P:P,MATCH(A34,Match!A:A,0))="OFF",0,1)</f>
        <v>1</v>
      </c>
      <c r="L34" t="str">
        <f>INDEX(Match!Q:Q,MATCH(E34,Match!U:U,0))</f>
        <v>Bristol R</v>
      </c>
      <c r="M34" t="str">
        <f>INDEX(Match!X:X,MATCH(E34,Match!U:U,0))</f>
        <v>1/1</v>
      </c>
      <c r="N34" t="str">
        <f>INDEX(Match!R:R,MATCH(E34,Match!U:U,0))</f>
        <v>Barrow</v>
      </c>
      <c r="O34" t="str">
        <f>INDEX(Match!Y:Y,MATCH(E34,Match!U:U,0))</f>
        <v>21/10</v>
      </c>
      <c r="P34" t="str">
        <f>INDEX(Match!Z:Z,MATCH(E34,Match!U:U,0))</f>
        <v>14/5</v>
      </c>
      <c r="Q34" s="170">
        <f>INDEX(Match!AA:AA,MATCH(E34,Match!U:U,0))</f>
        <v>2</v>
      </c>
      <c r="R34" s="170">
        <f>INDEX(Match!AB:AB,MATCH(E34,Match!U:U,0))</f>
        <v>3.1</v>
      </c>
      <c r="S34" s="170">
        <f>INDEX(Match!AC:AC,MATCH(E34,Match!U:U,0))</f>
        <v>3.8</v>
      </c>
    </row>
    <row r="35" spans="1:19">
      <c r="A35" s="4">
        <v>34</v>
      </c>
      <c r="B35" s="90">
        <f>IF(Match!B35="","",Match!B35)</f>
        <v>45913</v>
      </c>
      <c r="C35" s="469">
        <f t="shared" si="2"/>
        <v>7</v>
      </c>
      <c r="D35" s="59" t="str">
        <f>IF(Match!D35="","",Match!D35)</f>
        <v>League 2</v>
      </c>
      <c r="E35" s="58" t="str">
        <f>IF(Match!U35="","",Match!U35)</f>
        <v>Chesterfield  v  MK Dons   23/20  11/5  9/4</v>
      </c>
      <c r="F35" s="58" t="str">
        <f>IF(Match!V35="","",Match!V35)</f>
        <v xml:space="preserve">Chesterfield 1-1 MK Dons </v>
      </c>
      <c r="G35" s="32" t="str">
        <f t="shared" si="4"/>
        <v>Chesterfield</v>
      </c>
      <c r="H35" s="33" t="str">
        <f t="shared" si="1"/>
        <v>23/20</v>
      </c>
      <c r="I35" s="173">
        <f t="shared" si="3"/>
        <v>2.15</v>
      </c>
      <c r="J35" s="33">
        <f>INDEX(Picks!T:T,MATCH(G35,Picks!R:R,0))</f>
        <v>0</v>
      </c>
      <c r="K35" s="33">
        <f>IF(INDEX(Match!P:P,MATCH(A35,Match!A:A,0))="OFF",0,1)</f>
        <v>1</v>
      </c>
      <c r="L35" t="str">
        <f>INDEX(Match!Q:Q,MATCH(E35,Match!U:U,0))</f>
        <v>Chesterfield</v>
      </c>
      <c r="M35" t="str">
        <f>INDEX(Match!X:X,MATCH(E35,Match!U:U,0))</f>
        <v>23/20</v>
      </c>
      <c r="N35" t="str">
        <f>INDEX(Match!R:R,MATCH(E35,Match!U:U,0))</f>
        <v>MK Dons</v>
      </c>
      <c r="O35" t="str">
        <f>INDEX(Match!Y:Y,MATCH(E35,Match!U:U,0))</f>
        <v>11/5</v>
      </c>
      <c r="P35" t="str">
        <f>INDEX(Match!Z:Z,MATCH(E35,Match!U:U,0))</f>
        <v>9/4</v>
      </c>
      <c r="Q35" s="170">
        <f>INDEX(Match!AA:AA,MATCH(E35,Match!U:U,0))</f>
        <v>2.15</v>
      </c>
      <c r="R35" s="170">
        <f>INDEX(Match!AB:AB,MATCH(E35,Match!U:U,0))</f>
        <v>3.2</v>
      </c>
      <c r="S35" s="170">
        <f>INDEX(Match!AC:AC,MATCH(E35,Match!U:U,0))</f>
        <v>3.25</v>
      </c>
    </row>
    <row r="36" spans="1:19">
      <c r="A36" s="4">
        <v>35</v>
      </c>
      <c r="B36" s="90">
        <f>IF(Match!B36="","",Match!B36)</f>
        <v>45913</v>
      </c>
      <c r="C36" s="469">
        <f t="shared" si="2"/>
        <v>7</v>
      </c>
      <c r="D36" s="59" t="str">
        <f>IF(Match!D36="","",Match!D36)</f>
        <v>League 2</v>
      </c>
      <c r="E36" s="58" t="str">
        <f>IF(Match!U36="","",Match!U36)</f>
        <v>Crawley  v  Cheltenham   10/11  23/10  14/5</v>
      </c>
      <c r="F36" s="58" t="str">
        <f>IF(Match!V36="","",Match!V36)</f>
        <v xml:space="preserve">Crawley 2-0 Cheltenham </v>
      </c>
      <c r="G36" s="32" t="str">
        <f t="shared" si="4"/>
        <v>Crawley</v>
      </c>
      <c r="H36" s="33" t="str">
        <f t="shared" si="1"/>
        <v>10/11</v>
      </c>
      <c r="I36" s="173">
        <f t="shared" si="3"/>
        <v>1.9090909090909092</v>
      </c>
      <c r="J36" s="33">
        <f>INDEX(Picks!T:T,MATCH(G36,Picks!R:R,0))</f>
        <v>1</v>
      </c>
      <c r="K36" s="33">
        <f>IF(INDEX(Match!P:P,MATCH(A36,Match!A:A,0))="OFF",0,1)</f>
        <v>1</v>
      </c>
      <c r="L36" t="str">
        <f>INDEX(Match!Q:Q,MATCH(E36,Match!U:U,0))</f>
        <v>Crawley</v>
      </c>
      <c r="M36" t="str">
        <f>INDEX(Match!X:X,MATCH(E36,Match!U:U,0))</f>
        <v>10/11</v>
      </c>
      <c r="N36" t="str">
        <f>INDEX(Match!R:R,MATCH(E36,Match!U:U,0))</f>
        <v>Cheltenham</v>
      </c>
      <c r="O36" t="str">
        <f>INDEX(Match!Y:Y,MATCH(E36,Match!U:U,0))</f>
        <v>23/10</v>
      </c>
      <c r="P36" t="str">
        <f>INDEX(Match!Z:Z,MATCH(E36,Match!U:U,0))</f>
        <v>14/5</v>
      </c>
      <c r="Q36" s="170">
        <f>INDEX(Match!AA:AA,MATCH(E36,Match!U:U,0))</f>
        <v>1.9090909090909092</v>
      </c>
      <c r="R36" s="170">
        <f>INDEX(Match!AB:AB,MATCH(E36,Match!U:U,0))</f>
        <v>3.3</v>
      </c>
      <c r="S36" s="170">
        <f>INDEX(Match!AC:AC,MATCH(E36,Match!U:U,0))</f>
        <v>3.8</v>
      </c>
    </row>
    <row r="37" spans="1:19">
      <c r="A37" s="4">
        <v>36</v>
      </c>
      <c r="B37" s="90">
        <f>IF(Match!B37="","",Match!B37)</f>
        <v>45913</v>
      </c>
      <c r="C37" s="469">
        <f t="shared" si="2"/>
        <v>7</v>
      </c>
      <c r="D37" s="59" t="str">
        <f>IF(Match!D37="","",Match!D37)</f>
        <v>League 2</v>
      </c>
      <c r="E37" s="58" t="str">
        <f>IF(Match!U37="","",Match!U37)</f>
        <v>Crewe  v  Barnet   6/4  9/4  13/8</v>
      </c>
      <c r="F37" s="58" t="str">
        <f>IF(Match!V37="","",Match!V37)</f>
        <v xml:space="preserve">Crewe 1-2 Barnet </v>
      </c>
      <c r="G37" s="32" t="str">
        <f t="shared" si="4"/>
        <v>Crewe</v>
      </c>
      <c r="H37" s="33" t="str">
        <f t="shared" si="1"/>
        <v>6/4</v>
      </c>
      <c r="I37" s="173">
        <f t="shared" si="3"/>
        <v>2.5</v>
      </c>
      <c r="J37" s="33">
        <f>INDEX(Picks!T:T,MATCH(G37,Picks!R:R,0))</f>
        <v>0</v>
      </c>
      <c r="K37" s="33">
        <f>IF(INDEX(Match!P:P,MATCH(A37,Match!A:A,0))="OFF",0,1)</f>
        <v>1</v>
      </c>
      <c r="L37" t="str">
        <f>INDEX(Match!Q:Q,MATCH(E37,Match!U:U,0))</f>
        <v>Crewe</v>
      </c>
      <c r="M37" t="str">
        <f>INDEX(Match!X:X,MATCH(E37,Match!U:U,0))</f>
        <v>6/4</v>
      </c>
      <c r="N37" t="str">
        <f>INDEX(Match!R:R,MATCH(E37,Match!U:U,0))</f>
        <v>Barnet</v>
      </c>
      <c r="O37" t="str">
        <f>INDEX(Match!Y:Y,MATCH(E37,Match!U:U,0))</f>
        <v>9/4</v>
      </c>
      <c r="P37" t="str">
        <f>INDEX(Match!Z:Z,MATCH(E37,Match!U:U,0))</f>
        <v>13/8</v>
      </c>
      <c r="Q37" s="170">
        <f>INDEX(Match!AA:AA,MATCH(E37,Match!U:U,0))</f>
        <v>2.5</v>
      </c>
      <c r="R37" s="170">
        <f>INDEX(Match!AB:AB,MATCH(E37,Match!U:U,0))</f>
        <v>3.25</v>
      </c>
      <c r="S37" s="170">
        <f>INDEX(Match!AC:AC,MATCH(E37,Match!U:U,0))</f>
        <v>2.625</v>
      </c>
    </row>
    <row r="38" spans="1:19">
      <c r="A38" s="4">
        <v>37</v>
      </c>
      <c r="B38" s="90">
        <f>IF(Match!B38="","",Match!B38)</f>
        <v>45913</v>
      </c>
      <c r="C38" s="469">
        <f t="shared" si="2"/>
        <v>7</v>
      </c>
      <c r="D38" s="59" t="str">
        <f>IF(Match!D38="","",Match!D38)</f>
        <v>League 2</v>
      </c>
      <c r="E38" s="58" t="str">
        <f>IF(Match!U38="","",Match!U38)</f>
        <v>Fleetwood  v  Walsall   7/4  21/10  6/4</v>
      </c>
      <c r="F38" s="58" t="str">
        <f>IF(Match!V38="","",Match!V38)</f>
        <v xml:space="preserve">Fleetwood 1-1 Walsall </v>
      </c>
      <c r="G38" s="32" t="str">
        <f t="shared" si="4"/>
        <v>Fleetwood</v>
      </c>
      <c r="H38" s="33" t="str">
        <f t="shared" si="1"/>
        <v>7/4</v>
      </c>
      <c r="I38" s="173">
        <f t="shared" si="3"/>
        <v>2.75</v>
      </c>
      <c r="J38" s="33">
        <f>INDEX(Picks!T:T,MATCH(G38,Picks!R:R,0))</f>
        <v>0</v>
      </c>
      <c r="K38" s="33">
        <f>IF(INDEX(Match!P:P,MATCH(A38,Match!A:A,0))="OFF",0,1)</f>
        <v>1</v>
      </c>
      <c r="L38" t="str">
        <f>INDEX(Match!Q:Q,MATCH(E38,Match!U:U,0))</f>
        <v>Fleetwood</v>
      </c>
      <c r="M38" t="str">
        <f>INDEX(Match!X:X,MATCH(E38,Match!U:U,0))</f>
        <v>7/4</v>
      </c>
      <c r="N38" t="str">
        <f>INDEX(Match!R:R,MATCH(E38,Match!U:U,0))</f>
        <v>Walsall</v>
      </c>
      <c r="O38" t="str">
        <f>INDEX(Match!Y:Y,MATCH(E38,Match!U:U,0))</f>
        <v>21/10</v>
      </c>
      <c r="P38" t="str">
        <f>INDEX(Match!Z:Z,MATCH(E38,Match!U:U,0))</f>
        <v>6/4</v>
      </c>
      <c r="Q38" s="170">
        <f>INDEX(Match!AA:AA,MATCH(E38,Match!U:U,0))</f>
        <v>2.75</v>
      </c>
      <c r="R38" s="170">
        <f>INDEX(Match!AB:AB,MATCH(E38,Match!U:U,0))</f>
        <v>3.1</v>
      </c>
      <c r="S38" s="170">
        <f>INDEX(Match!AC:AC,MATCH(E38,Match!U:U,0))</f>
        <v>2.5</v>
      </c>
    </row>
    <row r="39" spans="1:19">
      <c r="A39" s="4">
        <v>38</v>
      </c>
      <c r="B39" s="90">
        <f>IF(Match!B39="","",Match!B39)</f>
        <v>45913</v>
      </c>
      <c r="C39" s="469">
        <f t="shared" si="2"/>
        <v>7</v>
      </c>
      <c r="D39" s="59" t="str">
        <f>IF(Match!D39="","",Match!D39)</f>
        <v>League 2</v>
      </c>
      <c r="E39" s="58" t="str">
        <f>IF(Match!U39="","",Match!U39)</f>
        <v>Gillingham  v  Notts Co   13/10  2/1  2/1</v>
      </c>
      <c r="F39" s="58" t="str">
        <f>IF(Match!V39="","",Match!V39)</f>
        <v xml:space="preserve">Gillingham 1-0 Notts Co </v>
      </c>
      <c r="G39" s="32" t="str">
        <f t="shared" si="4"/>
        <v>Gillingham</v>
      </c>
      <c r="H39" s="33" t="str">
        <f t="shared" si="1"/>
        <v>13/10</v>
      </c>
      <c r="I39" s="173">
        <f t="shared" si="3"/>
        <v>2.2999999999999998</v>
      </c>
      <c r="J39" s="33">
        <f>INDEX(Picks!T:T,MATCH(G39,Picks!R:R,0))</f>
        <v>1</v>
      </c>
      <c r="K39" s="33">
        <f>IF(INDEX(Match!P:P,MATCH(A39,Match!A:A,0))="OFF",0,1)</f>
        <v>1</v>
      </c>
      <c r="L39" t="str">
        <f>INDEX(Match!Q:Q,MATCH(E39,Match!U:U,0))</f>
        <v>Gillingham</v>
      </c>
      <c r="M39" t="str">
        <f>INDEX(Match!X:X,MATCH(E39,Match!U:U,0))</f>
        <v>13/10</v>
      </c>
      <c r="N39" t="str">
        <f>INDEX(Match!R:R,MATCH(E39,Match!U:U,0))</f>
        <v>Notts Co</v>
      </c>
      <c r="O39" t="str">
        <f>INDEX(Match!Y:Y,MATCH(E39,Match!U:U,0))</f>
        <v>2/1</v>
      </c>
      <c r="P39" t="str">
        <f>INDEX(Match!Z:Z,MATCH(E39,Match!U:U,0))</f>
        <v>2/1</v>
      </c>
      <c r="Q39" s="170">
        <f>INDEX(Match!AA:AA,MATCH(E39,Match!U:U,0))</f>
        <v>2.2999999999999998</v>
      </c>
      <c r="R39" s="170">
        <f>INDEX(Match!AB:AB,MATCH(E39,Match!U:U,0))</f>
        <v>3</v>
      </c>
      <c r="S39" s="170">
        <f>INDEX(Match!AC:AC,MATCH(E39,Match!U:U,0))</f>
        <v>3</v>
      </c>
    </row>
    <row r="40" spans="1:19">
      <c r="A40" s="4">
        <v>39</v>
      </c>
      <c r="B40" s="90">
        <f>IF(Match!B40="","",Match!B40)</f>
        <v>45913</v>
      </c>
      <c r="C40" s="469">
        <f t="shared" si="2"/>
        <v>7</v>
      </c>
      <c r="D40" s="59" t="str">
        <f>IF(Match!D40="","",Match!D40)</f>
        <v>League 2</v>
      </c>
      <c r="E40" s="58" t="str">
        <f>IF(Match!U40="","",Match!U40)</f>
        <v>Grimsby  v  Cambridge   23/20  11/5  11/5</v>
      </c>
      <c r="F40" s="58" t="str">
        <f>IF(Match!V40="","",Match!V40)</f>
        <v xml:space="preserve">Grimsby 1-1 Cambridge </v>
      </c>
      <c r="G40" s="32" t="str">
        <f t="shared" si="4"/>
        <v>Grimsby</v>
      </c>
      <c r="H40" s="33" t="str">
        <f t="shared" si="1"/>
        <v>23/20</v>
      </c>
      <c r="I40" s="173">
        <f t="shared" si="3"/>
        <v>2.15</v>
      </c>
      <c r="J40" s="33">
        <f>INDEX(Picks!T:T,MATCH(G40,Picks!R:R,0))</f>
        <v>0</v>
      </c>
      <c r="K40" s="33">
        <f>IF(INDEX(Match!P:P,MATCH(A40,Match!A:A,0))="OFF",0,1)</f>
        <v>1</v>
      </c>
      <c r="L40" t="str">
        <f>INDEX(Match!Q:Q,MATCH(E40,Match!U:U,0))</f>
        <v>Grimsby</v>
      </c>
      <c r="M40" t="str">
        <f>INDEX(Match!X:X,MATCH(E40,Match!U:U,0))</f>
        <v>23/20</v>
      </c>
      <c r="N40" t="str">
        <f>INDEX(Match!R:R,MATCH(E40,Match!U:U,0))</f>
        <v>Cambridge</v>
      </c>
      <c r="O40" t="str">
        <f>INDEX(Match!Y:Y,MATCH(E40,Match!U:U,0))</f>
        <v>11/5</v>
      </c>
      <c r="P40" t="str">
        <f>INDEX(Match!Z:Z,MATCH(E40,Match!U:U,0))</f>
        <v>11/5</v>
      </c>
      <c r="Q40" s="170">
        <f>INDEX(Match!AA:AA,MATCH(E40,Match!U:U,0))</f>
        <v>2.15</v>
      </c>
      <c r="R40" s="170">
        <f>INDEX(Match!AB:AB,MATCH(E40,Match!U:U,0))</f>
        <v>3.2</v>
      </c>
      <c r="S40" s="170">
        <f>INDEX(Match!AC:AC,MATCH(E40,Match!U:U,0))</f>
        <v>3.2</v>
      </c>
    </row>
    <row r="41" spans="1:19">
      <c r="A41" s="4">
        <v>40</v>
      </c>
      <c r="B41" s="90">
        <f>IF(Match!B41="","",Match!B41)</f>
        <v>45913</v>
      </c>
      <c r="C41" s="469">
        <f t="shared" si="2"/>
        <v>7</v>
      </c>
      <c r="D41" s="59" t="str">
        <f>IF(Match!D41="","",Match!D41)</f>
        <v>League 2</v>
      </c>
      <c r="E41" s="58" t="str">
        <f>IF(Match!U41="","",Match!U41)</f>
        <v>Oldham  v  Bromley   6/4  21/10  7/4</v>
      </c>
      <c r="F41" s="58" t="str">
        <f>IF(Match!V41="","",Match!V41)</f>
        <v xml:space="preserve">Oldham 1-0 Bromley </v>
      </c>
      <c r="G41" s="32" t="str">
        <f t="shared" si="4"/>
        <v>Oldham</v>
      </c>
      <c r="H41" s="33" t="str">
        <f t="shared" si="1"/>
        <v>6/4</v>
      </c>
      <c r="I41" s="173">
        <f t="shared" si="3"/>
        <v>2.5</v>
      </c>
      <c r="J41" s="33">
        <f>INDEX(Picks!T:T,MATCH(G41,Picks!R:R,0))</f>
        <v>1</v>
      </c>
      <c r="K41" s="33">
        <f>IF(INDEX(Match!P:P,MATCH(A41,Match!A:A,0))="OFF",0,1)</f>
        <v>1</v>
      </c>
      <c r="L41" t="str">
        <f>INDEX(Match!Q:Q,MATCH(E41,Match!U:U,0))</f>
        <v>Oldham</v>
      </c>
      <c r="M41" t="str">
        <f>INDEX(Match!X:X,MATCH(E41,Match!U:U,0))</f>
        <v>6/4</v>
      </c>
      <c r="N41" t="str">
        <f>INDEX(Match!R:R,MATCH(E41,Match!U:U,0))</f>
        <v>Bromley</v>
      </c>
      <c r="O41" t="str">
        <f>INDEX(Match!Y:Y,MATCH(E41,Match!U:U,0))</f>
        <v>21/10</v>
      </c>
      <c r="P41" t="str">
        <f>INDEX(Match!Z:Z,MATCH(E41,Match!U:U,0))</f>
        <v>7/4</v>
      </c>
      <c r="Q41" s="170">
        <f>INDEX(Match!AA:AA,MATCH(E41,Match!U:U,0))</f>
        <v>2.5</v>
      </c>
      <c r="R41" s="170">
        <f>INDEX(Match!AB:AB,MATCH(E41,Match!U:U,0))</f>
        <v>3.1</v>
      </c>
      <c r="S41" s="170">
        <f>INDEX(Match!AC:AC,MATCH(E41,Match!U:U,0))</f>
        <v>2.75</v>
      </c>
    </row>
    <row r="42" spans="1:19">
      <c r="A42" s="4">
        <v>41</v>
      </c>
      <c r="B42" s="90">
        <f>IF(Match!B42="","",Match!B42)</f>
        <v>45913</v>
      </c>
      <c r="C42" s="469">
        <f t="shared" si="2"/>
        <v>7</v>
      </c>
      <c r="D42" s="59" t="str">
        <f>IF(Match!D42="","",Match!D42)</f>
        <v>League 2</v>
      </c>
      <c r="E42" s="58" t="str">
        <f>IF(Match!U42="","",Match!U42)</f>
        <v>Shrewsbury  v  Salford   17/10  21/10  6/4</v>
      </c>
      <c r="F42" s="58" t="str">
        <f>IF(Match!V42="","",Match!V42)</f>
        <v xml:space="preserve">Shrewsbury 1-3 Salford </v>
      </c>
      <c r="G42" s="32" t="str">
        <f t="shared" si="4"/>
        <v>Shrewsbury</v>
      </c>
      <c r="H42" s="33" t="str">
        <f t="shared" si="1"/>
        <v>17/10</v>
      </c>
      <c r="I42" s="173">
        <f t="shared" si="3"/>
        <v>2.7</v>
      </c>
      <c r="J42" s="33">
        <f>INDEX(Picks!T:T,MATCH(G42,Picks!R:R,0))</f>
        <v>0</v>
      </c>
      <c r="K42" s="33">
        <f>IF(INDEX(Match!P:P,MATCH(A42,Match!A:A,0))="OFF",0,1)</f>
        <v>1</v>
      </c>
      <c r="L42" t="str">
        <f>INDEX(Match!Q:Q,MATCH(E42,Match!U:U,0))</f>
        <v>Shrewsbury</v>
      </c>
      <c r="M42" t="str">
        <f>INDEX(Match!X:X,MATCH(E42,Match!U:U,0))</f>
        <v>17/10</v>
      </c>
      <c r="N42" t="str">
        <f>INDEX(Match!R:R,MATCH(E42,Match!U:U,0))</f>
        <v>Salford</v>
      </c>
      <c r="O42" t="str">
        <f>INDEX(Match!Y:Y,MATCH(E42,Match!U:U,0))</f>
        <v>21/10</v>
      </c>
      <c r="P42" t="str">
        <f>INDEX(Match!Z:Z,MATCH(E42,Match!U:U,0))</f>
        <v>6/4</v>
      </c>
      <c r="Q42" s="170">
        <f>INDEX(Match!AA:AA,MATCH(E42,Match!U:U,0))</f>
        <v>2.7</v>
      </c>
      <c r="R42" s="170">
        <f>INDEX(Match!AB:AB,MATCH(E42,Match!U:U,0))</f>
        <v>3.1</v>
      </c>
      <c r="S42" s="170">
        <f>INDEX(Match!AC:AC,MATCH(E42,Match!U:U,0))</f>
        <v>2.5</v>
      </c>
    </row>
    <row r="43" spans="1:19">
      <c r="A43" s="4">
        <v>42</v>
      </c>
      <c r="B43" s="90">
        <f>IF(Match!B43="","",Match!B43)</f>
        <v>45913</v>
      </c>
      <c r="C43" s="469">
        <f t="shared" si="2"/>
        <v>7</v>
      </c>
      <c r="D43" s="59" t="str">
        <f>IF(Match!D43="","",Match!D43)</f>
        <v>League 2</v>
      </c>
      <c r="E43" s="58" t="str">
        <f>IF(Match!U43="","",Match!U43)</f>
        <v>Swindon  v  Harrogate   4/6  5/2  7/2</v>
      </c>
      <c r="F43" s="58" t="str">
        <f>IF(Match!V43="","",Match!V43)</f>
        <v xml:space="preserve">Swindon 3-1 Harrogate </v>
      </c>
      <c r="G43" s="32" t="str">
        <f t="shared" si="4"/>
        <v>Swindon</v>
      </c>
      <c r="H43" s="33" t="str">
        <f t="shared" si="1"/>
        <v>4/6</v>
      </c>
      <c r="I43" s="173">
        <f t="shared" si="3"/>
        <v>1.6666666666666665</v>
      </c>
      <c r="J43" s="33">
        <f>INDEX(Picks!T:T,MATCH(G43,Picks!R:R,0))</f>
        <v>1</v>
      </c>
      <c r="K43" s="33">
        <f>IF(INDEX(Match!P:P,MATCH(A43,Match!A:A,0))="OFF",0,1)</f>
        <v>1</v>
      </c>
      <c r="L43" t="str">
        <f>INDEX(Match!Q:Q,MATCH(E43,Match!U:U,0))</f>
        <v>Swindon</v>
      </c>
      <c r="M43" t="str">
        <f>INDEX(Match!X:X,MATCH(E43,Match!U:U,0))</f>
        <v>4/6</v>
      </c>
      <c r="N43" t="str">
        <f>INDEX(Match!R:R,MATCH(E43,Match!U:U,0))</f>
        <v>Harrogate</v>
      </c>
      <c r="O43" t="str">
        <f>INDEX(Match!Y:Y,MATCH(E43,Match!U:U,0))</f>
        <v>5/2</v>
      </c>
      <c r="P43" t="str">
        <f>INDEX(Match!Z:Z,MATCH(E43,Match!U:U,0))</f>
        <v>7/2</v>
      </c>
      <c r="Q43" s="170">
        <f>INDEX(Match!AA:AA,MATCH(E43,Match!U:U,0))</f>
        <v>1.6666666666666665</v>
      </c>
      <c r="R43" s="170">
        <f>INDEX(Match!AB:AB,MATCH(E43,Match!U:U,0))</f>
        <v>3.5</v>
      </c>
      <c r="S43" s="170">
        <f>INDEX(Match!AC:AC,MATCH(E43,Match!U:U,0))</f>
        <v>4.5</v>
      </c>
    </row>
    <row r="44" spans="1:19">
      <c r="A44" s="4">
        <v>43</v>
      </c>
      <c r="B44" s="90">
        <f>IF(Match!B44="","",Match!B44)</f>
        <v>45913</v>
      </c>
      <c r="C44" s="469">
        <f t="shared" si="2"/>
        <v>7</v>
      </c>
      <c r="D44" s="59" t="str">
        <f>IF(Match!D44="","",Match!D44)</f>
        <v>League 2</v>
      </c>
      <c r="E44" s="58" t="str">
        <f>IF(Match!U44="","",Match!U44)</f>
        <v>Tranmere  v  Newport   8/13  5/2  4/1</v>
      </c>
      <c r="F44" s="58" t="str">
        <f>IF(Match!V44="","",Match!V44)</f>
        <v xml:space="preserve">Tranmere 1-1 Newport </v>
      </c>
      <c r="G44" s="32" t="str">
        <f t="shared" si="4"/>
        <v>Tranmere</v>
      </c>
      <c r="H44" s="33" t="str">
        <f t="shared" si="1"/>
        <v>8/13</v>
      </c>
      <c r="I44" s="173">
        <f t="shared" si="3"/>
        <v>1.6153846153846154</v>
      </c>
      <c r="J44" s="33">
        <f>INDEX(Picks!T:T,MATCH(G44,Picks!R:R,0))</f>
        <v>0</v>
      </c>
      <c r="K44" s="33">
        <f>IF(INDEX(Match!P:P,MATCH(A44,Match!A:A,0))="OFF",0,1)</f>
        <v>1</v>
      </c>
      <c r="L44" t="str">
        <f>INDEX(Match!Q:Q,MATCH(E44,Match!U:U,0))</f>
        <v>Tranmere</v>
      </c>
      <c r="M44" t="str">
        <f>INDEX(Match!X:X,MATCH(E44,Match!U:U,0))</f>
        <v>8/13</v>
      </c>
      <c r="N44" t="str">
        <f>INDEX(Match!R:R,MATCH(E44,Match!U:U,0))</f>
        <v>Newport</v>
      </c>
      <c r="O44" t="str">
        <f>INDEX(Match!Y:Y,MATCH(E44,Match!U:U,0))</f>
        <v>5/2</v>
      </c>
      <c r="P44" t="str">
        <f>INDEX(Match!Z:Z,MATCH(E44,Match!U:U,0))</f>
        <v>4/1</v>
      </c>
      <c r="Q44" s="170">
        <f>INDEX(Match!AA:AA,MATCH(E44,Match!U:U,0))</f>
        <v>1.6153846153846154</v>
      </c>
      <c r="R44" s="170">
        <f>INDEX(Match!AB:AB,MATCH(E44,Match!U:U,0))</f>
        <v>3.5</v>
      </c>
      <c r="S44" s="170">
        <f>INDEX(Match!AC:AC,MATCH(E44,Match!U:U,0))</f>
        <v>5</v>
      </c>
    </row>
    <row r="45" spans="1:19">
      <c r="A45" s="4">
        <v>44</v>
      </c>
      <c r="B45" s="90">
        <f>IF(Match!B45="","",Match!B45)</f>
        <v>45914</v>
      </c>
      <c r="C45" s="469">
        <f t="shared" si="2"/>
        <v>1</v>
      </c>
      <c r="D45" s="59" t="str">
        <f>IF(Match!D45="","",Match!D45)</f>
        <v>Premier</v>
      </c>
      <c r="E45" s="58" t="str">
        <f>IF(Match!U45="","",Match!U45)</f>
        <v>Burnley  v  Liverpool   17/2  4/1  3/10</v>
      </c>
      <c r="F45" s="58" t="str">
        <f>IF(Match!V45="","",Match!V45)</f>
        <v xml:space="preserve">Burnley 0-1 Liverpool </v>
      </c>
      <c r="G45" s="32" t="str">
        <f t="shared" si="4"/>
        <v>Burnley</v>
      </c>
      <c r="H45" s="33" t="str">
        <f t="shared" si="1"/>
        <v>17/2</v>
      </c>
      <c r="I45" s="173">
        <f t="shared" si="3"/>
        <v>9.5</v>
      </c>
      <c r="J45" s="33">
        <f>INDEX(Picks!T:T,MATCH(G45,Picks!R:R,0))</f>
        <v>0</v>
      </c>
      <c r="K45" s="33">
        <f>IF(INDEX(Match!P:P,MATCH(A45,Match!A:A,0))="OFF",0,1)</f>
        <v>1</v>
      </c>
      <c r="L45" t="str">
        <f>INDEX(Match!Q:Q,MATCH(E45,Match!U:U,0))</f>
        <v>Burnley</v>
      </c>
      <c r="M45" t="str">
        <f>INDEX(Match!X:X,MATCH(E45,Match!U:U,0))</f>
        <v>17/2</v>
      </c>
      <c r="N45" t="str">
        <f>INDEX(Match!R:R,MATCH(E45,Match!U:U,0))</f>
        <v>Liverpool</v>
      </c>
      <c r="O45" t="str">
        <f>INDEX(Match!Y:Y,MATCH(E45,Match!U:U,0))</f>
        <v>4/1</v>
      </c>
      <c r="P45" t="str">
        <f>INDEX(Match!Z:Z,MATCH(E45,Match!U:U,0))</f>
        <v>3/10</v>
      </c>
      <c r="Q45" s="170">
        <f>INDEX(Match!AA:AA,MATCH(E45,Match!U:U,0))</f>
        <v>9.5</v>
      </c>
      <c r="R45" s="170">
        <f>INDEX(Match!AB:AB,MATCH(E45,Match!U:U,0))</f>
        <v>5</v>
      </c>
      <c r="S45" s="170">
        <f>INDEX(Match!AC:AC,MATCH(E45,Match!U:U,0))</f>
        <v>1.3</v>
      </c>
    </row>
    <row r="46" spans="1:19">
      <c r="A46" s="4">
        <v>45</v>
      </c>
      <c r="B46" s="90">
        <f>IF(Match!B46="","",Match!B46)</f>
        <v>45914</v>
      </c>
      <c r="C46" s="469">
        <f t="shared" si="2"/>
        <v>1</v>
      </c>
      <c r="D46" s="59" t="str">
        <f>IF(Match!D46="","",Match!D46)</f>
        <v>Premier</v>
      </c>
      <c r="E46" s="58" t="str">
        <f>IF(Match!U46="","",Match!U46)</f>
        <v>Man C  v  Man U   4/6  3/1  18/5</v>
      </c>
      <c r="F46" s="58" t="str">
        <f>IF(Match!V46="","",Match!V46)</f>
        <v xml:space="preserve">Man C 3-0 Man U </v>
      </c>
      <c r="G46" s="32" t="str">
        <f t="shared" si="4"/>
        <v>Man C</v>
      </c>
      <c r="H46" s="33" t="str">
        <f>IF(E46="","",M46)</f>
        <v>4/6</v>
      </c>
      <c r="I46" s="173">
        <f t="shared" si="3"/>
        <v>1.6666666666666665</v>
      </c>
      <c r="J46" s="33">
        <f>INDEX(Picks!T:T,MATCH(G46,Picks!R:R,0))</f>
        <v>1</v>
      </c>
      <c r="K46" s="33">
        <f>IF(INDEX(Match!P:P,MATCH(A46,Match!A:A,0))="OFF",0,1)</f>
        <v>1</v>
      </c>
      <c r="L46" t="str">
        <f>INDEX(Match!Q:Q,MATCH(E46,Match!U:U,0))</f>
        <v>Man C</v>
      </c>
      <c r="M46" t="str">
        <f>INDEX(Match!X:X,MATCH(E46,Match!U:U,0))</f>
        <v>4/6</v>
      </c>
      <c r="N46" t="str">
        <f>INDEX(Match!R:R,MATCH(E46,Match!U:U,0))</f>
        <v>Man U</v>
      </c>
      <c r="O46" t="str">
        <f>INDEX(Match!Y:Y,MATCH(E46,Match!U:U,0))</f>
        <v>3/1</v>
      </c>
      <c r="P46" t="str">
        <f>INDEX(Match!Z:Z,MATCH(E46,Match!U:U,0))</f>
        <v>18/5</v>
      </c>
      <c r="Q46" s="170">
        <f>INDEX(Match!AA:AA,MATCH(E46,Match!U:U,0))</f>
        <v>1.6666666666666665</v>
      </c>
      <c r="R46" s="170">
        <f>INDEX(Match!AB:AB,MATCH(E46,Match!U:U,0))</f>
        <v>4</v>
      </c>
      <c r="S46" s="170">
        <f>INDEX(Match!AC:AC,MATCH(E46,Match!U:U,0))</f>
        <v>4.5999999999999996</v>
      </c>
    </row>
    <row r="47" spans="1:19">
      <c r="A47" s="4">
        <v>46</v>
      </c>
      <c r="B47" s="90">
        <f>IF(Match!B47="","",Match!B47)</f>
        <v>45914</v>
      </c>
      <c r="C47" s="469">
        <f t="shared" si="2"/>
        <v>1</v>
      </c>
      <c r="D47" s="59" t="str">
        <f>IF(Match!D47="","",Match!D47)</f>
        <v>Champ</v>
      </c>
      <c r="E47" s="58" t="str">
        <f>IF(Match!U47="","",Match!U47)</f>
        <v>Southampton  v  Portsmouth   7/10  27/10  18/5</v>
      </c>
      <c r="F47" s="58" t="str">
        <f>IF(Match!V47="","",Match!V47)</f>
        <v xml:space="preserve">Southampton 0-0 Portsmouth </v>
      </c>
      <c r="G47" s="32" t="str">
        <f>IF(E47="","",L47)</f>
        <v>Southampton</v>
      </c>
      <c r="H47" s="33" t="str">
        <f>IF(E47="","",M47)</f>
        <v>7/10</v>
      </c>
      <c r="I47" s="173">
        <f t="shared" si="3"/>
        <v>1.7</v>
      </c>
      <c r="J47" s="33">
        <f>INDEX(Picks!T:T,MATCH(G47,Picks!R:R,0))</f>
        <v>0</v>
      </c>
      <c r="K47" s="33">
        <f>IF(INDEX(Match!P:P,MATCH(A47,Match!A:A,0))="OFF",0,1)</f>
        <v>1</v>
      </c>
      <c r="L47" t="str">
        <f>INDEX(Match!Q:Q,MATCH(E47,Match!U:U,0))</f>
        <v>Southampton</v>
      </c>
      <c r="M47" t="str">
        <f>INDEX(Match!X:X,MATCH(E47,Match!U:U,0))</f>
        <v>7/10</v>
      </c>
      <c r="N47" t="str">
        <f>INDEX(Match!R:R,MATCH(E47,Match!U:U,0))</f>
        <v>Portsmouth</v>
      </c>
      <c r="O47" t="str">
        <f>INDEX(Match!Y:Y,MATCH(E47,Match!U:U,0))</f>
        <v>27/10</v>
      </c>
      <c r="P47" t="str">
        <f>INDEX(Match!Z:Z,MATCH(E47,Match!U:U,0))</f>
        <v>18/5</v>
      </c>
      <c r="Q47" s="170">
        <f>INDEX(Match!AA:AA,MATCH(E47,Match!U:U,0))</f>
        <v>1.7</v>
      </c>
      <c r="R47" s="170">
        <f>INDEX(Match!AB:AB,MATCH(E47,Match!U:U,0))</f>
        <v>3.7</v>
      </c>
      <c r="S47" s="170">
        <f>INDEX(Match!AC:AC,MATCH(E47,Match!U:U,0))</f>
        <v>4.5999999999999996</v>
      </c>
    </row>
    <row r="48" spans="1:19">
      <c r="A48" s="4">
        <v>1</v>
      </c>
      <c r="B48" s="90">
        <f>IF(Match!B2="","",Match!B2)</f>
        <v>45912</v>
      </c>
      <c r="C48" s="469">
        <f t="shared" si="2"/>
        <v>6</v>
      </c>
      <c r="E48" s="8"/>
      <c r="F48" s="8"/>
      <c r="G48" s="144" t="str">
        <f t="shared" ref="G48:G93" si="5">IF(E2="","",L2&amp;" draw")</f>
        <v>Ipswich draw</v>
      </c>
      <c r="H48" s="145" t="str">
        <f t="shared" ref="H48:H93" si="6">IF(E2="","",O2)</f>
        <v>5/2</v>
      </c>
      <c r="I48" s="174">
        <f>IF(E2="","",R2)</f>
        <v>3.5</v>
      </c>
      <c r="J48" s="145">
        <f>INDEX(Picks!T:T,MATCH(G48,Picks!R:R,0))</f>
        <v>0</v>
      </c>
      <c r="K48" s="145">
        <f>IF(INDEX(Match!P:P,MATCH(A48,Match!A:A,0))="OFF",0,1)</f>
        <v>1</v>
      </c>
    </row>
    <row r="49" spans="1:11">
      <c r="A49" s="4">
        <v>2</v>
      </c>
      <c r="B49" s="90">
        <f>IF(Match!B3="","",Match!B3)</f>
        <v>45913</v>
      </c>
      <c r="C49" s="469">
        <f t="shared" si="2"/>
        <v>7</v>
      </c>
      <c r="G49" s="144" t="str">
        <f t="shared" si="5"/>
        <v>Arsenal draw</v>
      </c>
      <c r="H49" s="145" t="str">
        <f t="shared" si="6"/>
        <v>15/4</v>
      </c>
      <c r="I49" s="174">
        <f t="shared" ref="I49:I93" si="7">IF(E3="","",R3)</f>
        <v>4.75</v>
      </c>
      <c r="J49" s="145">
        <f>INDEX(Picks!T:T,MATCH(G49,Picks!R:R,0))</f>
        <v>0</v>
      </c>
      <c r="K49" s="145">
        <f>IF(INDEX(Match!P:P,MATCH(A49,Match!A:A,0))="OFF",0,1)</f>
        <v>1</v>
      </c>
    </row>
    <row r="50" spans="1:11">
      <c r="A50" s="4">
        <v>3</v>
      </c>
      <c r="B50" s="90">
        <f>IF(Match!B4="","",Match!B4)</f>
        <v>45913</v>
      </c>
      <c r="C50" s="469">
        <f t="shared" si="2"/>
        <v>7</v>
      </c>
      <c r="G50" s="144" t="str">
        <f t="shared" si="5"/>
        <v>Bournemouth draw</v>
      </c>
      <c r="H50" s="145" t="str">
        <f t="shared" si="6"/>
        <v>5/2</v>
      </c>
      <c r="I50" s="174">
        <f t="shared" si="7"/>
        <v>3.5</v>
      </c>
      <c r="J50" s="145">
        <f>INDEX(Picks!T:T,MATCH(G50,Picks!R:R,0))</f>
        <v>0</v>
      </c>
      <c r="K50" s="145">
        <f>IF(INDEX(Match!P:P,MATCH(A50,Match!A:A,0))="OFF",0,1)</f>
        <v>1</v>
      </c>
    </row>
    <row r="51" spans="1:11">
      <c r="A51" s="4">
        <v>4</v>
      </c>
      <c r="B51" s="90">
        <f>IF(Match!B5="","",Match!B5)</f>
        <v>45913</v>
      </c>
      <c r="C51" s="469">
        <f t="shared" si="2"/>
        <v>7</v>
      </c>
      <c r="G51" s="144" t="str">
        <f t="shared" si="5"/>
        <v>Brentford draw</v>
      </c>
      <c r="H51" s="145" t="str">
        <f t="shared" si="6"/>
        <v>11/4</v>
      </c>
      <c r="I51" s="174">
        <f t="shared" si="7"/>
        <v>3.75</v>
      </c>
      <c r="J51" s="145">
        <f>INDEX(Picks!T:T,MATCH(G51,Picks!R:R,0))</f>
        <v>1</v>
      </c>
      <c r="K51" s="145">
        <f>IF(INDEX(Match!P:P,MATCH(A51,Match!A:A,0))="OFF",0,1)</f>
        <v>1</v>
      </c>
    </row>
    <row r="52" spans="1:11">
      <c r="A52" s="4">
        <v>5</v>
      </c>
      <c r="B52" s="90">
        <f>IF(Match!B6="","",Match!B6)</f>
        <v>45913</v>
      </c>
      <c r="C52" s="469">
        <f t="shared" si="2"/>
        <v>7</v>
      </c>
      <c r="G52" s="144" t="str">
        <f t="shared" si="5"/>
        <v>Everton draw</v>
      </c>
      <c r="H52" s="145" t="str">
        <f t="shared" si="6"/>
        <v>11/5</v>
      </c>
      <c r="I52" s="174">
        <f t="shared" si="7"/>
        <v>3.2</v>
      </c>
      <c r="J52" s="145">
        <f>INDEX(Picks!T:T,MATCH(G52,Picks!R:R,0))</f>
        <v>1</v>
      </c>
      <c r="K52" s="145">
        <f>IF(INDEX(Match!P:P,MATCH(A52,Match!A:A,0))="OFF",0,1)</f>
        <v>1</v>
      </c>
    </row>
    <row r="53" spans="1:11">
      <c r="A53" s="4">
        <v>6</v>
      </c>
      <c r="B53" s="90">
        <f>IF(Match!B7="","",Match!B7)</f>
        <v>45913</v>
      </c>
      <c r="C53" s="469">
        <f t="shared" si="2"/>
        <v>7</v>
      </c>
      <c r="G53" s="144" t="str">
        <f t="shared" si="5"/>
        <v>Fulham draw</v>
      </c>
      <c r="H53" s="145" t="str">
        <f t="shared" si="6"/>
        <v>13/5</v>
      </c>
      <c r="I53" s="174">
        <f t="shared" si="7"/>
        <v>3.6</v>
      </c>
      <c r="J53" s="145">
        <f>INDEX(Picks!T:T,MATCH(G53,Picks!R:R,0))</f>
        <v>0</v>
      </c>
      <c r="K53" s="145">
        <f>IF(INDEX(Match!P:P,MATCH(A53,Match!A:A,0))="OFF",0,1)</f>
        <v>1</v>
      </c>
    </row>
    <row r="54" spans="1:11">
      <c r="A54" s="4">
        <v>7</v>
      </c>
      <c r="B54" s="90">
        <f>IF(Match!B8="","",Match!B8)</f>
        <v>45913</v>
      </c>
      <c r="C54" s="469">
        <f t="shared" si="2"/>
        <v>7</v>
      </c>
      <c r="G54" s="144" t="str">
        <f t="shared" si="5"/>
        <v>Newcastle draw</v>
      </c>
      <c r="H54" s="145" t="str">
        <f t="shared" si="6"/>
        <v>7/2</v>
      </c>
      <c r="I54" s="174">
        <f t="shared" si="7"/>
        <v>4.5</v>
      </c>
      <c r="J54" s="145">
        <f>INDEX(Picks!T:T,MATCH(G54,Picks!R:R,0))</f>
        <v>0</v>
      </c>
      <c r="K54" s="145">
        <f>IF(INDEX(Match!P:P,MATCH(A54,Match!A:A,0))="OFF",0,1)</f>
        <v>1</v>
      </c>
    </row>
    <row r="55" spans="1:11">
      <c r="A55" s="4">
        <v>8</v>
      </c>
      <c r="B55" s="90">
        <f>IF(Match!B9="","",Match!B9)</f>
        <v>45913</v>
      </c>
      <c r="C55" s="469">
        <f t="shared" si="2"/>
        <v>7</v>
      </c>
      <c r="G55" s="144" t="str">
        <f t="shared" si="5"/>
        <v>Palace draw</v>
      </c>
      <c r="H55" s="145" t="str">
        <f t="shared" si="6"/>
        <v>14/5</v>
      </c>
      <c r="I55" s="174">
        <f t="shared" si="7"/>
        <v>3.8</v>
      </c>
      <c r="J55" s="145">
        <f>INDEX(Picks!T:T,MATCH(G55,Picks!R:R,0))</f>
        <v>1</v>
      </c>
      <c r="K55" s="145">
        <f>IF(INDEX(Match!P:P,MATCH(A55,Match!A:A,0))="OFF",0,1)</f>
        <v>1</v>
      </c>
    </row>
    <row r="56" spans="1:11">
      <c r="A56" s="4">
        <v>9</v>
      </c>
      <c r="B56" s="90">
        <f>IF(Match!B10="","",Match!B10)</f>
        <v>45913</v>
      </c>
      <c r="C56" s="469">
        <f t="shared" si="2"/>
        <v>7</v>
      </c>
      <c r="G56" s="144" t="str">
        <f t="shared" si="5"/>
        <v>West Ham draw</v>
      </c>
      <c r="H56" s="145" t="str">
        <f t="shared" si="6"/>
        <v>12/5</v>
      </c>
      <c r="I56" s="174">
        <f t="shared" si="7"/>
        <v>3.4</v>
      </c>
      <c r="J56" s="145">
        <f>INDEX(Picks!T:T,MATCH(G56,Picks!R:R,0))</f>
        <v>0</v>
      </c>
      <c r="K56" s="145">
        <f>IF(INDEX(Match!P:P,MATCH(A56,Match!A:A,0))="OFF",0,1)</f>
        <v>1</v>
      </c>
    </row>
    <row r="57" spans="1:11">
      <c r="A57" s="4">
        <v>10</v>
      </c>
      <c r="B57" s="90">
        <f>IF(Match!B11="","",Match!B11)</f>
        <v>45913</v>
      </c>
      <c r="C57" s="469">
        <f t="shared" si="2"/>
        <v>7</v>
      </c>
      <c r="G57" s="144" t="str">
        <f t="shared" si="5"/>
        <v>Charlton draw</v>
      </c>
      <c r="H57" s="145" t="str">
        <f t="shared" si="6"/>
        <v>21/10</v>
      </c>
      <c r="I57" s="174">
        <f t="shared" si="7"/>
        <v>3.1</v>
      </c>
      <c r="J57" s="145">
        <f>INDEX(Picks!T:T,MATCH(G57,Picks!R:R,0))</f>
        <v>1</v>
      </c>
      <c r="K57" s="145">
        <f>IF(INDEX(Match!P:P,MATCH(A57,Match!A:A,0))="OFF",0,1)</f>
        <v>1</v>
      </c>
    </row>
    <row r="58" spans="1:11">
      <c r="A58" s="4">
        <v>11</v>
      </c>
      <c r="B58" s="90">
        <f>IF(Match!B12="","",Match!B12)</f>
        <v>45913</v>
      </c>
      <c r="C58" s="469">
        <f t="shared" si="2"/>
        <v>7</v>
      </c>
      <c r="G58" s="144" t="str">
        <f t="shared" si="5"/>
        <v>Coventry draw</v>
      </c>
      <c r="H58" s="145" t="str">
        <f t="shared" si="6"/>
        <v>27/10</v>
      </c>
      <c r="I58" s="174">
        <f t="shared" si="7"/>
        <v>3.7</v>
      </c>
      <c r="J58" s="145">
        <f>INDEX(Picks!T:T,MATCH(G58,Picks!R:R,0))</f>
        <v>1</v>
      </c>
      <c r="K58" s="145">
        <f>IF(INDEX(Match!P:P,MATCH(A58,Match!A:A,0))="OFF",0,1)</f>
        <v>1</v>
      </c>
    </row>
    <row r="59" spans="1:11">
      <c r="A59" s="4">
        <v>12</v>
      </c>
      <c r="B59" s="90">
        <f>IF(Match!B13="","",Match!B13)</f>
        <v>45913</v>
      </c>
      <c r="C59" s="469">
        <f t="shared" si="2"/>
        <v>7</v>
      </c>
      <c r="G59" s="144" t="str">
        <f t="shared" si="5"/>
        <v>Oxford draw</v>
      </c>
      <c r="H59" s="145" t="str">
        <f t="shared" si="6"/>
        <v>12/5</v>
      </c>
      <c r="I59" s="174">
        <f t="shared" si="7"/>
        <v>3.4</v>
      </c>
      <c r="J59" s="145">
        <f>INDEX(Picks!T:T,MATCH(G59,Picks!R:R,0))</f>
        <v>1</v>
      </c>
      <c r="K59" s="145">
        <f>IF(INDEX(Match!P:P,MATCH(A59,Match!A:A,0))="OFF",0,1)</f>
        <v>1</v>
      </c>
    </row>
    <row r="60" spans="1:11">
      <c r="A60" s="4">
        <v>13</v>
      </c>
      <c r="B60" s="90">
        <f>IF(Match!B14="","",Match!B14)</f>
        <v>45913</v>
      </c>
      <c r="C60" s="469">
        <f t="shared" si="2"/>
        <v>7</v>
      </c>
      <c r="G60" s="144" t="str">
        <f t="shared" si="5"/>
        <v>Preston draw</v>
      </c>
      <c r="H60" s="145" t="str">
        <f t="shared" si="6"/>
        <v>11/5</v>
      </c>
      <c r="I60" s="174">
        <f t="shared" si="7"/>
        <v>3.2</v>
      </c>
      <c r="J60" s="145">
        <f>INDEX(Picks!T:T,MATCH(G60,Picks!R:R,0))</f>
        <v>1</v>
      </c>
      <c r="K60" s="145">
        <f>IF(INDEX(Match!P:P,MATCH(A60,Match!A:A,0))="OFF",0,1)</f>
        <v>1</v>
      </c>
    </row>
    <row r="61" spans="1:11">
      <c r="A61" s="4">
        <v>14</v>
      </c>
      <c r="B61" s="90">
        <f>IF(Match!B15="","",Match!B15)</f>
        <v>45913</v>
      </c>
      <c r="C61" s="469">
        <f t="shared" si="2"/>
        <v>7</v>
      </c>
      <c r="G61" s="144" t="str">
        <f t="shared" si="5"/>
        <v>Sheff W draw</v>
      </c>
      <c r="H61" s="145" t="str">
        <f t="shared" si="6"/>
        <v>23/10</v>
      </c>
      <c r="I61" s="174">
        <f t="shared" si="7"/>
        <v>3.3</v>
      </c>
      <c r="J61" s="145">
        <f>INDEX(Picks!T:T,MATCH(G61,Picks!R:R,0))</f>
        <v>0</v>
      </c>
      <c r="K61" s="145">
        <f>IF(INDEX(Match!P:P,MATCH(A61,Match!A:A,0))="OFF",0,1)</f>
        <v>1</v>
      </c>
    </row>
    <row r="62" spans="1:11">
      <c r="A62" s="4">
        <v>15</v>
      </c>
      <c r="B62" s="90">
        <f>IF(Match!B16="","",Match!B16)</f>
        <v>45913</v>
      </c>
      <c r="C62" s="469">
        <f t="shared" si="2"/>
        <v>7</v>
      </c>
      <c r="G62" s="144" t="str">
        <f t="shared" si="5"/>
        <v>Stoke draw</v>
      </c>
      <c r="H62" s="145" t="str">
        <f t="shared" si="6"/>
        <v>21/10</v>
      </c>
      <c r="I62" s="174">
        <f t="shared" si="7"/>
        <v>3.1</v>
      </c>
      <c r="J62" s="145">
        <f>INDEX(Picks!T:T,MATCH(G62,Picks!R:R,0))</f>
        <v>0</v>
      </c>
      <c r="K62" s="145">
        <f>IF(INDEX(Match!P:P,MATCH(A62,Match!A:A,0))="OFF",0,1)</f>
        <v>1</v>
      </c>
    </row>
    <row r="63" spans="1:11">
      <c r="A63" s="4">
        <v>16</v>
      </c>
      <c r="B63" s="90">
        <f>IF(Match!B17="","",Match!B17)</f>
        <v>45913</v>
      </c>
      <c r="C63" s="469">
        <f t="shared" si="2"/>
        <v>7</v>
      </c>
      <c r="G63" s="144" t="str">
        <f t="shared" si="5"/>
        <v>Swansea draw</v>
      </c>
      <c r="H63" s="145" t="str">
        <f t="shared" si="6"/>
        <v>12/5</v>
      </c>
      <c r="I63" s="174">
        <f t="shared" si="7"/>
        <v>3.4</v>
      </c>
      <c r="J63" s="145">
        <f>INDEX(Picks!T:T,MATCH(G63,Picks!R:R,0))</f>
        <v>1</v>
      </c>
      <c r="K63" s="145">
        <f>IF(INDEX(Match!P:P,MATCH(A63,Match!A:A,0))="OFF",0,1)</f>
        <v>1</v>
      </c>
    </row>
    <row r="64" spans="1:11">
      <c r="A64" s="4">
        <v>17</v>
      </c>
      <c r="B64" s="90">
        <f>IF(Match!B18="","",Match!B18)</f>
        <v>45913</v>
      </c>
      <c r="C64" s="469">
        <f t="shared" si="2"/>
        <v>7</v>
      </c>
      <c r="G64" s="144" t="str">
        <f t="shared" si="5"/>
        <v>Watford draw</v>
      </c>
      <c r="H64" s="145" t="str">
        <f t="shared" si="6"/>
        <v>11/5</v>
      </c>
      <c r="I64" s="174">
        <f t="shared" si="7"/>
        <v>3.2</v>
      </c>
      <c r="J64" s="145">
        <f>INDEX(Picks!T:T,MATCH(G64,Picks!R:R,0))</f>
        <v>0</v>
      </c>
      <c r="K64" s="145">
        <f>IF(INDEX(Match!P:P,MATCH(A64,Match!A:A,0))="OFF",0,1)</f>
        <v>1</v>
      </c>
    </row>
    <row r="65" spans="1:11">
      <c r="A65" s="4">
        <v>18</v>
      </c>
      <c r="B65" s="90">
        <f>IF(Match!B19="","",Match!B19)</f>
        <v>45913</v>
      </c>
      <c r="C65" s="469">
        <f t="shared" si="2"/>
        <v>7</v>
      </c>
      <c r="G65" s="144" t="str">
        <f t="shared" si="5"/>
        <v>West Brom draw</v>
      </c>
      <c r="H65" s="145" t="str">
        <f t="shared" si="6"/>
        <v>12/5</v>
      </c>
      <c r="I65" s="174">
        <f t="shared" si="7"/>
        <v>3.4</v>
      </c>
      <c r="J65" s="145">
        <f>INDEX(Picks!T:T,MATCH(G65,Picks!R:R,0))</f>
        <v>0</v>
      </c>
      <c r="K65" s="145">
        <f>IF(INDEX(Match!P:P,MATCH(A65,Match!A:A,0))="OFF",0,1)</f>
        <v>1</v>
      </c>
    </row>
    <row r="66" spans="1:11">
      <c r="A66" s="4">
        <v>19</v>
      </c>
      <c r="B66" s="90">
        <f>IF(Match!B20="","",Match!B20)</f>
        <v>45913</v>
      </c>
      <c r="C66" s="469">
        <f t="shared" si="2"/>
        <v>7</v>
      </c>
      <c r="G66" s="144" t="str">
        <f t="shared" si="5"/>
        <v>Wrexham draw</v>
      </c>
      <c r="H66" s="145" t="str">
        <f t="shared" si="6"/>
        <v>23/10</v>
      </c>
      <c r="I66" s="174">
        <f t="shared" si="7"/>
        <v>3.3</v>
      </c>
      <c r="J66" s="145">
        <f>INDEX(Picks!T:T,MATCH(G66,Picks!R:R,0))</f>
        <v>0</v>
      </c>
      <c r="K66" s="145">
        <f>IF(INDEX(Match!P:P,MATCH(A66,Match!A:A,0))="OFF",0,1)</f>
        <v>1</v>
      </c>
    </row>
    <row r="67" spans="1:11">
      <c r="A67" s="4">
        <v>20</v>
      </c>
      <c r="B67" s="90">
        <f>IF(Match!B21="","",Match!B21)</f>
        <v>45913</v>
      </c>
      <c r="C67" s="469">
        <f t="shared" ref="C67:C130" si="8">IF(B67="","",WEEKDAY(B67))</f>
        <v>7</v>
      </c>
      <c r="G67" s="144" t="str">
        <f t="shared" si="5"/>
        <v>Barnsley draw</v>
      </c>
      <c r="H67" s="145" t="str">
        <f t="shared" si="6"/>
        <v>5/2</v>
      </c>
      <c r="I67" s="174">
        <f t="shared" si="7"/>
        <v>3.5</v>
      </c>
      <c r="J67" s="145">
        <f>INDEX(Picks!T:T,MATCH(G67,Picks!R:R,0))</f>
        <v>0</v>
      </c>
      <c r="K67" s="145">
        <f>IF(INDEX(Match!P:P,MATCH(A67,Match!A:A,0))="OFF",0,1)</f>
        <v>1</v>
      </c>
    </row>
    <row r="68" spans="1:11">
      <c r="A68" s="4">
        <v>21</v>
      </c>
      <c r="B68" s="90">
        <f>IF(Match!B22="","",Match!B22)</f>
        <v>45913</v>
      </c>
      <c r="C68" s="469">
        <f t="shared" si="8"/>
        <v>7</v>
      </c>
      <c r="G68" s="144" t="str">
        <f t="shared" si="5"/>
        <v>Bradford draw</v>
      </c>
      <c r="H68" s="145" t="str">
        <f t="shared" si="6"/>
        <v>11/5</v>
      </c>
      <c r="I68" s="174">
        <f t="shared" si="7"/>
        <v>3.2</v>
      </c>
      <c r="J68" s="145">
        <f>INDEX(Picks!T:T,MATCH(G68,Picks!R:R,0))</f>
        <v>0</v>
      </c>
      <c r="K68" s="145">
        <f>IF(INDEX(Match!P:P,MATCH(A68,Match!A:A,0))="OFF",0,1)</f>
        <v>1</v>
      </c>
    </row>
    <row r="69" spans="1:11">
      <c r="A69" s="4">
        <v>22</v>
      </c>
      <c r="B69" s="90">
        <f>IF(Match!B23="","",Match!B23)</f>
        <v>45913</v>
      </c>
      <c r="C69" s="469">
        <f t="shared" si="8"/>
        <v>7</v>
      </c>
      <c r="G69" s="144" t="str">
        <f t="shared" si="5"/>
        <v>Burton draw</v>
      </c>
      <c r="H69" s="145" t="str">
        <f t="shared" si="6"/>
        <v>2/1</v>
      </c>
      <c r="I69" s="174">
        <f t="shared" si="7"/>
        <v>3</v>
      </c>
      <c r="J69" s="145">
        <f>INDEX(Picks!T:T,MATCH(G69,Picks!R:R,0))</f>
        <v>0</v>
      </c>
      <c r="K69" s="145">
        <f>IF(INDEX(Match!P:P,MATCH(A69,Match!A:A,0))="OFF",0,1)</f>
        <v>1</v>
      </c>
    </row>
    <row r="70" spans="1:11">
      <c r="A70" s="4">
        <v>23</v>
      </c>
      <c r="B70" s="90">
        <f>IF(Match!B24="","",Match!B24)</f>
        <v>45913</v>
      </c>
      <c r="C70" s="469">
        <f t="shared" si="8"/>
        <v>7</v>
      </c>
      <c r="G70" s="144" t="str">
        <f t="shared" si="5"/>
        <v>Exeter draw</v>
      </c>
      <c r="H70" s="145" t="str">
        <f t="shared" si="6"/>
        <v>21/10</v>
      </c>
      <c r="I70" s="174">
        <f t="shared" si="7"/>
        <v>3.1</v>
      </c>
      <c r="J70" s="145">
        <f>INDEX(Picks!T:T,MATCH(G70,Picks!R:R,0))</f>
        <v>0</v>
      </c>
      <c r="K70" s="145">
        <f>IF(INDEX(Match!P:P,MATCH(A70,Match!A:A,0))="OFF",0,1)</f>
        <v>1</v>
      </c>
    </row>
    <row r="71" spans="1:11">
      <c r="A71" s="4">
        <v>24</v>
      </c>
      <c r="B71" s="90">
        <f>IF(Match!B25="","",Match!B25)</f>
        <v>45913</v>
      </c>
      <c r="C71" s="469">
        <f t="shared" si="8"/>
        <v>7</v>
      </c>
      <c r="G71" s="144" t="str">
        <f t="shared" si="5"/>
        <v>Luton draw</v>
      </c>
      <c r="H71" s="145" t="str">
        <f t="shared" si="6"/>
        <v>3/1</v>
      </c>
      <c r="I71" s="174">
        <f t="shared" si="7"/>
        <v>4</v>
      </c>
      <c r="J71" s="145">
        <f>INDEX(Picks!T:T,MATCH(G71,Picks!R:R,0))</f>
        <v>0</v>
      </c>
      <c r="K71" s="145">
        <f>IF(INDEX(Match!P:P,MATCH(A71,Match!A:A,0))="OFF",0,1)</f>
        <v>1</v>
      </c>
    </row>
    <row r="72" spans="1:11">
      <c r="A72" s="4">
        <v>25</v>
      </c>
      <c r="B72" s="90">
        <f>IF(Match!B26="","",Match!B26)</f>
        <v>45913</v>
      </c>
      <c r="C72" s="469">
        <f t="shared" si="8"/>
        <v>7</v>
      </c>
      <c r="G72" s="144" t="str">
        <f t="shared" si="5"/>
        <v>Mansfield draw</v>
      </c>
      <c r="H72" s="145" t="str">
        <f t="shared" si="6"/>
        <v>2/1</v>
      </c>
      <c r="I72" s="174">
        <f t="shared" si="7"/>
        <v>3</v>
      </c>
      <c r="J72" s="145">
        <f>INDEX(Picks!T:T,MATCH(G72,Picks!R:R,0))</f>
        <v>1</v>
      </c>
      <c r="K72" s="145">
        <f>IF(INDEX(Match!P:P,MATCH(A72,Match!A:A,0))="OFF",0,1)</f>
        <v>1</v>
      </c>
    </row>
    <row r="73" spans="1:11">
      <c r="A73" s="4">
        <v>26</v>
      </c>
      <c r="B73" s="90">
        <f>IF(Match!B27="","",Match!B27)</f>
        <v>45913</v>
      </c>
      <c r="C73" s="469">
        <f t="shared" si="8"/>
        <v>7</v>
      </c>
      <c r="G73" s="144" t="str">
        <f t="shared" si="5"/>
        <v>Northampton draw</v>
      </c>
      <c r="H73" s="145" t="str">
        <f t="shared" si="6"/>
        <v>21/10</v>
      </c>
      <c r="I73" s="174">
        <f t="shared" si="7"/>
        <v>3.1</v>
      </c>
      <c r="J73" s="145">
        <f>INDEX(Picks!T:T,MATCH(G73,Picks!R:R,0))</f>
        <v>0</v>
      </c>
      <c r="K73" s="145">
        <f>IF(INDEX(Match!P:P,MATCH(A73,Match!A:A,0))="OFF",0,1)</f>
        <v>1</v>
      </c>
    </row>
    <row r="74" spans="1:11">
      <c r="A74" s="4">
        <v>27</v>
      </c>
      <c r="B74" s="90">
        <f>IF(Match!B28="","",Match!B28)</f>
        <v>45913</v>
      </c>
      <c r="C74" s="469">
        <f t="shared" si="8"/>
        <v>7</v>
      </c>
      <c r="G74" s="144" t="str">
        <f t="shared" si="5"/>
        <v>Orient draw</v>
      </c>
      <c r="H74" s="145" t="str">
        <f t="shared" si="6"/>
        <v>23/10</v>
      </c>
      <c r="I74" s="174">
        <f t="shared" si="7"/>
        <v>3.3</v>
      </c>
      <c r="J74" s="145">
        <f>INDEX(Picks!T:T,MATCH(G74,Picks!R:R,0))</f>
        <v>1</v>
      </c>
      <c r="K74" s="145">
        <f>IF(INDEX(Match!P:P,MATCH(A74,Match!A:A,0))="OFF",0,1)</f>
        <v>1</v>
      </c>
    </row>
    <row r="75" spans="1:11">
      <c r="A75" s="4">
        <v>28</v>
      </c>
      <c r="B75" s="90">
        <f>IF(Match!B29="","",Match!B29)</f>
        <v>45913</v>
      </c>
      <c r="C75" s="469">
        <f t="shared" si="8"/>
        <v>7</v>
      </c>
      <c r="G75" s="144" t="str">
        <f t="shared" si="5"/>
        <v>Peterbro draw</v>
      </c>
      <c r="H75" s="145" t="str">
        <f t="shared" si="6"/>
        <v>23/10</v>
      </c>
      <c r="I75" s="174">
        <f t="shared" si="7"/>
        <v>3.3</v>
      </c>
      <c r="J75" s="145">
        <f>INDEX(Picks!T:T,MATCH(G75,Picks!R:R,0))</f>
        <v>0</v>
      </c>
      <c r="K75" s="145">
        <f>IF(INDEX(Match!P:P,MATCH(A75,Match!A:A,0))="OFF",0,1)</f>
        <v>1</v>
      </c>
    </row>
    <row r="76" spans="1:11">
      <c r="A76" s="4">
        <v>29</v>
      </c>
      <c r="B76" s="90">
        <f>IF(Match!B30="","",Match!B30)</f>
        <v>45913</v>
      </c>
      <c r="C76" s="469">
        <f t="shared" si="8"/>
        <v>7</v>
      </c>
      <c r="G76" s="144" t="str">
        <f t="shared" si="5"/>
        <v>Stockport draw</v>
      </c>
      <c r="H76" s="145" t="str">
        <f t="shared" si="6"/>
        <v>11/5</v>
      </c>
      <c r="I76" s="174">
        <f t="shared" si="7"/>
        <v>3.2</v>
      </c>
      <c r="J76" s="145">
        <f>INDEX(Picks!T:T,MATCH(G76,Picks!R:R,0))</f>
        <v>1</v>
      </c>
      <c r="K76" s="145">
        <f>IF(INDEX(Match!P:P,MATCH(A76,Match!A:A,0))="OFF",0,1)</f>
        <v>1</v>
      </c>
    </row>
    <row r="77" spans="1:11">
      <c r="A77" s="4">
        <v>30</v>
      </c>
      <c r="B77" s="90">
        <f>IF(Match!B31="","",Match!B31)</f>
        <v>45913</v>
      </c>
      <c r="C77" s="469">
        <f t="shared" si="8"/>
        <v>7</v>
      </c>
      <c r="G77" s="144" t="str">
        <f t="shared" si="5"/>
        <v>Wigan draw</v>
      </c>
      <c r="H77" s="145" t="str">
        <f t="shared" si="6"/>
        <v>2/1</v>
      </c>
      <c r="I77" s="174">
        <f t="shared" si="7"/>
        <v>3</v>
      </c>
      <c r="J77" s="145">
        <f>INDEX(Picks!T:T,MATCH(G77,Picks!R:R,0))</f>
        <v>0</v>
      </c>
      <c r="K77" s="145">
        <f>IF(INDEX(Match!P:P,MATCH(A77,Match!A:A,0))="OFF",0,1)</f>
        <v>1</v>
      </c>
    </row>
    <row r="78" spans="1:11">
      <c r="A78" s="4">
        <v>31</v>
      </c>
      <c r="B78" s="90">
        <f>IF(Match!B32="","",Match!B32)</f>
        <v>45913</v>
      </c>
      <c r="C78" s="469">
        <f t="shared" si="8"/>
        <v>7</v>
      </c>
      <c r="G78" s="144" t="str">
        <f t="shared" si="5"/>
        <v>Wimbledon draw</v>
      </c>
      <c r="H78" s="145" t="str">
        <f t="shared" si="6"/>
        <v>21/10</v>
      </c>
      <c r="I78" s="174">
        <f t="shared" si="7"/>
        <v>3.1</v>
      </c>
      <c r="J78" s="145">
        <f>INDEX(Picks!T:T,MATCH(G78,Picks!R:R,0))</f>
        <v>0</v>
      </c>
      <c r="K78" s="145">
        <f>IF(INDEX(Match!P:P,MATCH(A78,Match!A:A,0))="OFF",0,1)</f>
        <v>1</v>
      </c>
    </row>
    <row r="79" spans="1:11">
      <c r="A79" s="4">
        <v>32</v>
      </c>
      <c r="B79" s="90">
        <f>IF(Match!B33="","",Match!B33)</f>
        <v>45913</v>
      </c>
      <c r="C79" s="469">
        <f t="shared" si="8"/>
        <v>7</v>
      </c>
      <c r="G79" s="144" t="str">
        <f t="shared" si="5"/>
        <v>Accrington draw</v>
      </c>
      <c r="H79" s="145" t="str">
        <f t="shared" si="6"/>
        <v>2/1</v>
      </c>
      <c r="I79" s="174">
        <f t="shared" si="7"/>
        <v>3</v>
      </c>
      <c r="J79" s="145">
        <f>INDEX(Picks!T:T,MATCH(G79,Picks!R:R,0))</f>
        <v>0</v>
      </c>
      <c r="K79" s="145">
        <f>IF(INDEX(Match!P:P,MATCH(A79,Match!A:A,0))="OFF",0,1)</f>
        <v>1</v>
      </c>
    </row>
    <row r="80" spans="1:11">
      <c r="A80" s="4">
        <v>33</v>
      </c>
      <c r="B80" s="90">
        <f>IF(Match!B34="","",Match!B34)</f>
        <v>45913</v>
      </c>
      <c r="C80" s="469">
        <f t="shared" si="8"/>
        <v>7</v>
      </c>
      <c r="G80" s="144" t="str">
        <f t="shared" si="5"/>
        <v>Bristol R draw</v>
      </c>
      <c r="H80" s="145" t="str">
        <f t="shared" si="6"/>
        <v>21/10</v>
      </c>
      <c r="I80" s="174">
        <f t="shared" si="7"/>
        <v>3.1</v>
      </c>
      <c r="J80" s="145">
        <f>INDEX(Picks!T:T,MATCH(G80,Picks!R:R,0))</f>
        <v>0</v>
      </c>
      <c r="K80" s="145">
        <f>IF(INDEX(Match!P:P,MATCH(A80,Match!A:A,0))="OFF",0,1)</f>
        <v>1</v>
      </c>
    </row>
    <row r="81" spans="1:11">
      <c r="A81" s="4">
        <v>34</v>
      </c>
      <c r="B81" s="90">
        <f>IF(Match!B35="","",Match!B35)</f>
        <v>45913</v>
      </c>
      <c r="C81" s="469">
        <f t="shared" si="8"/>
        <v>7</v>
      </c>
      <c r="G81" s="144" t="str">
        <f t="shared" si="5"/>
        <v>Chesterfield draw</v>
      </c>
      <c r="H81" s="145" t="str">
        <f t="shared" si="6"/>
        <v>11/5</v>
      </c>
      <c r="I81" s="174">
        <f t="shared" si="7"/>
        <v>3.2</v>
      </c>
      <c r="J81" s="145">
        <f>INDEX(Picks!T:T,MATCH(G81,Picks!R:R,0))</f>
        <v>1</v>
      </c>
      <c r="K81" s="145">
        <f>IF(INDEX(Match!P:P,MATCH(A81,Match!A:A,0))="OFF",0,1)</f>
        <v>1</v>
      </c>
    </row>
    <row r="82" spans="1:11">
      <c r="A82" s="4">
        <v>35</v>
      </c>
      <c r="B82" s="90">
        <f>IF(Match!B36="","",Match!B36)</f>
        <v>45913</v>
      </c>
      <c r="C82" s="469">
        <f t="shared" si="8"/>
        <v>7</v>
      </c>
      <c r="G82" s="144" t="str">
        <f t="shared" si="5"/>
        <v>Crawley draw</v>
      </c>
      <c r="H82" s="145" t="str">
        <f t="shared" si="6"/>
        <v>23/10</v>
      </c>
      <c r="I82" s="174">
        <f t="shared" si="7"/>
        <v>3.3</v>
      </c>
      <c r="J82" s="145">
        <f>INDEX(Picks!T:T,MATCH(G82,Picks!R:R,0))</f>
        <v>0</v>
      </c>
      <c r="K82" s="145">
        <f>IF(INDEX(Match!P:P,MATCH(A82,Match!A:A,0))="OFF",0,1)</f>
        <v>1</v>
      </c>
    </row>
    <row r="83" spans="1:11">
      <c r="A83" s="4">
        <v>36</v>
      </c>
      <c r="B83" s="90">
        <f>IF(Match!B37="","",Match!B37)</f>
        <v>45913</v>
      </c>
      <c r="C83" s="469">
        <f t="shared" si="8"/>
        <v>7</v>
      </c>
      <c r="G83" s="144" t="str">
        <f t="shared" si="5"/>
        <v>Crewe draw</v>
      </c>
      <c r="H83" s="145" t="str">
        <f t="shared" si="6"/>
        <v>9/4</v>
      </c>
      <c r="I83" s="174">
        <f t="shared" si="7"/>
        <v>3.25</v>
      </c>
      <c r="J83" s="145">
        <f>INDEX(Picks!T:T,MATCH(G83,Picks!R:R,0))</f>
        <v>0</v>
      </c>
      <c r="K83" s="145">
        <f>IF(INDEX(Match!P:P,MATCH(A83,Match!A:A,0))="OFF",0,1)</f>
        <v>1</v>
      </c>
    </row>
    <row r="84" spans="1:11">
      <c r="A84" s="4">
        <v>37</v>
      </c>
      <c r="B84" s="90">
        <f>IF(Match!B38="","",Match!B38)</f>
        <v>45913</v>
      </c>
      <c r="C84" s="469">
        <f t="shared" si="8"/>
        <v>7</v>
      </c>
      <c r="G84" s="144" t="str">
        <f t="shared" si="5"/>
        <v>Fleetwood draw</v>
      </c>
      <c r="H84" s="145" t="str">
        <f t="shared" si="6"/>
        <v>21/10</v>
      </c>
      <c r="I84" s="174">
        <f t="shared" si="7"/>
        <v>3.1</v>
      </c>
      <c r="J84" s="145">
        <f>INDEX(Picks!T:T,MATCH(G84,Picks!R:R,0))</f>
        <v>1</v>
      </c>
      <c r="K84" s="145">
        <f>IF(INDEX(Match!P:P,MATCH(A84,Match!A:A,0))="OFF",0,1)</f>
        <v>1</v>
      </c>
    </row>
    <row r="85" spans="1:11">
      <c r="A85" s="4">
        <v>38</v>
      </c>
      <c r="B85" s="90">
        <f>IF(Match!B39="","",Match!B39)</f>
        <v>45913</v>
      </c>
      <c r="C85" s="469">
        <f t="shared" si="8"/>
        <v>7</v>
      </c>
      <c r="G85" s="144" t="str">
        <f t="shared" si="5"/>
        <v>Gillingham draw</v>
      </c>
      <c r="H85" s="145" t="str">
        <f t="shared" si="6"/>
        <v>2/1</v>
      </c>
      <c r="I85" s="174">
        <f t="shared" si="7"/>
        <v>3</v>
      </c>
      <c r="J85" s="145">
        <f>INDEX(Picks!T:T,MATCH(G85,Picks!R:R,0))</f>
        <v>0</v>
      </c>
      <c r="K85" s="145">
        <f>IF(INDEX(Match!P:P,MATCH(A85,Match!A:A,0))="OFF",0,1)</f>
        <v>1</v>
      </c>
    </row>
    <row r="86" spans="1:11">
      <c r="A86" s="4">
        <v>39</v>
      </c>
      <c r="B86" s="90">
        <f>IF(Match!B40="","",Match!B40)</f>
        <v>45913</v>
      </c>
      <c r="C86" s="469">
        <f t="shared" si="8"/>
        <v>7</v>
      </c>
      <c r="G86" s="144" t="str">
        <f t="shared" si="5"/>
        <v>Grimsby draw</v>
      </c>
      <c r="H86" s="145" t="str">
        <f t="shared" si="6"/>
        <v>11/5</v>
      </c>
      <c r="I86" s="174">
        <f t="shared" si="7"/>
        <v>3.2</v>
      </c>
      <c r="J86" s="145">
        <f>INDEX(Picks!T:T,MATCH(G86,Picks!R:R,0))</f>
        <v>1</v>
      </c>
      <c r="K86" s="145">
        <f>IF(INDEX(Match!P:P,MATCH(A86,Match!A:A,0))="OFF",0,1)</f>
        <v>1</v>
      </c>
    </row>
    <row r="87" spans="1:11">
      <c r="A87" s="4">
        <v>40</v>
      </c>
      <c r="B87" s="90">
        <f>IF(Match!B41="","",Match!B41)</f>
        <v>45913</v>
      </c>
      <c r="C87" s="469">
        <f t="shared" si="8"/>
        <v>7</v>
      </c>
      <c r="G87" s="144" t="str">
        <f t="shared" si="5"/>
        <v>Oldham draw</v>
      </c>
      <c r="H87" s="145" t="str">
        <f t="shared" si="6"/>
        <v>21/10</v>
      </c>
      <c r="I87" s="174">
        <f t="shared" si="7"/>
        <v>3.1</v>
      </c>
      <c r="J87" s="145">
        <f>INDEX(Picks!T:T,MATCH(G87,Picks!R:R,0))</f>
        <v>0</v>
      </c>
      <c r="K87" s="145">
        <f>IF(INDEX(Match!P:P,MATCH(A87,Match!A:A,0))="OFF",0,1)</f>
        <v>1</v>
      </c>
    </row>
    <row r="88" spans="1:11">
      <c r="A88" s="4">
        <v>41</v>
      </c>
      <c r="B88" s="90">
        <f>IF(Match!B42="","",Match!B42)</f>
        <v>45913</v>
      </c>
      <c r="C88" s="469">
        <f t="shared" si="8"/>
        <v>7</v>
      </c>
      <c r="G88" s="144" t="str">
        <f t="shared" si="5"/>
        <v>Shrewsbury draw</v>
      </c>
      <c r="H88" s="145" t="str">
        <f t="shared" si="6"/>
        <v>21/10</v>
      </c>
      <c r="I88" s="174">
        <f t="shared" si="7"/>
        <v>3.1</v>
      </c>
      <c r="J88" s="145">
        <f>INDEX(Picks!T:T,MATCH(G88,Picks!R:R,0))</f>
        <v>0</v>
      </c>
      <c r="K88" s="145">
        <f>IF(INDEX(Match!P:P,MATCH(A88,Match!A:A,0))="OFF",0,1)</f>
        <v>1</v>
      </c>
    </row>
    <row r="89" spans="1:11">
      <c r="A89" s="4">
        <v>42</v>
      </c>
      <c r="B89" s="90">
        <f>IF(Match!B43="","",Match!B43)</f>
        <v>45913</v>
      </c>
      <c r="C89" s="469">
        <f t="shared" si="8"/>
        <v>7</v>
      </c>
      <c r="G89" s="144" t="str">
        <f t="shared" si="5"/>
        <v>Swindon draw</v>
      </c>
      <c r="H89" s="145" t="str">
        <f t="shared" si="6"/>
        <v>5/2</v>
      </c>
      <c r="I89" s="174">
        <f t="shared" si="7"/>
        <v>3.5</v>
      </c>
      <c r="J89" s="145">
        <f>INDEX(Picks!T:T,MATCH(G89,Picks!R:R,0))</f>
        <v>0</v>
      </c>
      <c r="K89" s="145">
        <f>IF(INDEX(Match!P:P,MATCH(A89,Match!A:A,0))="OFF",0,1)</f>
        <v>1</v>
      </c>
    </row>
    <row r="90" spans="1:11">
      <c r="A90" s="4">
        <v>43</v>
      </c>
      <c r="B90" s="90">
        <f>IF(Match!B44="","",Match!B44)</f>
        <v>45913</v>
      </c>
      <c r="C90" s="469">
        <f t="shared" si="8"/>
        <v>7</v>
      </c>
      <c r="G90" s="144" t="str">
        <f t="shared" si="5"/>
        <v>Tranmere draw</v>
      </c>
      <c r="H90" s="145" t="str">
        <f t="shared" si="6"/>
        <v>5/2</v>
      </c>
      <c r="I90" s="174">
        <f t="shared" si="7"/>
        <v>3.5</v>
      </c>
      <c r="J90" s="145">
        <f>INDEX(Picks!T:T,MATCH(G90,Picks!R:R,0))</f>
        <v>1</v>
      </c>
      <c r="K90" s="145">
        <f>IF(INDEX(Match!P:P,MATCH(A90,Match!A:A,0))="OFF",0,1)</f>
        <v>1</v>
      </c>
    </row>
    <row r="91" spans="1:11">
      <c r="A91" s="4">
        <v>44</v>
      </c>
      <c r="B91" s="90">
        <f>IF(Match!B45="","",Match!B45)</f>
        <v>45914</v>
      </c>
      <c r="C91" s="469">
        <f t="shared" si="8"/>
        <v>1</v>
      </c>
      <c r="G91" s="144" t="str">
        <f t="shared" si="5"/>
        <v>Burnley draw</v>
      </c>
      <c r="H91" s="145" t="str">
        <f t="shared" si="6"/>
        <v>4/1</v>
      </c>
      <c r="I91" s="174">
        <f t="shared" si="7"/>
        <v>5</v>
      </c>
      <c r="J91" s="145">
        <f>INDEX(Picks!T:T,MATCH(G91,Picks!R:R,0))</f>
        <v>0</v>
      </c>
      <c r="K91" s="145">
        <f>IF(INDEX(Match!P:P,MATCH(A91,Match!A:A,0))="OFF",0,1)</f>
        <v>1</v>
      </c>
    </row>
    <row r="92" spans="1:11">
      <c r="A92" s="4">
        <v>45</v>
      </c>
      <c r="B92" s="90">
        <f>IF(Match!B46="","",Match!B46)</f>
        <v>45914</v>
      </c>
      <c r="C92" s="469">
        <f t="shared" si="8"/>
        <v>1</v>
      </c>
      <c r="G92" s="144" t="str">
        <f t="shared" si="5"/>
        <v>Man C draw</v>
      </c>
      <c r="H92" s="145" t="str">
        <f t="shared" si="6"/>
        <v>3/1</v>
      </c>
      <c r="I92" s="174">
        <f t="shared" si="7"/>
        <v>4</v>
      </c>
      <c r="J92" s="145">
        <f>INDEX(Picks!T:T,MATCH(G92,Picks!R:R,0))</f>
        <v>0</v>
      </c>
      <c r="K92" s="145">
        <f>IF(INDEX(Match!P:P,MATCH(A92,Match!A:A,0))="OFF",0,1)</f>
        <v>1</v>
      </c>
    </row>
    <row r="93" spans="1:11">
      <c r="A93" s="4">
        <v>46</v>
      </c>
      <c r="B93" s="90">
        <f>IF(Match!B47="","",Match!B47)</f>
        <v>45914</v>
      </c>
      <c r="C93" s="469">
        <f t="shared" si="8"/>
        <v>1</v>
      </c>
      <c r="G93" s="144" t="str">
        <f t="shared" si="5"/>
        <v>Southampton draw</v>
      </c>
      <c r="H93" s="145" t="str">
        <f t="shared" si="6"/>
        <v>27/10</v>
      </c>
      <c r="I93" s="174">
        <f t="shared" si="7"/>
        <v>3.7</v>
      </c>
      <c r="J93" s="145">
        <f>INDEX(Picks!T:T,MATCH(G93,Picks!R:R,0))</f>
        <v>1</v>
      </c>
      <c r="K93" s="145">
        <f>IF(INDEX(Match!P:P,MATCH(A93,Match!A:A,0))="OFF",0,1)</f>
        <v>1</v>
      </c>
    </row>
    <row r="94" spans="1:11">
      <c r="A94" s="4">
        <v>1</v>
      </c>
      <c r="B94" s="90">
        <f>IF(Match!B2="","",Match!B2)</f>
        <v>45912</v>
      </c>
      <c r="C94" s="469">
        <f t="shared" si="8"/>
        <v>6</v>
      </c>
      <c r="G94" s="146" t="str">
        <f t="shared" ref="G94:G133" si="9">IF(E2="","",N2)</f>
        <v>Sheff U</v>
      </c>
      <c r="H94" s="147" t="str">
        <f t="shared" ref="H94:H133" si="10">IF(E2="","",P2)</f>
        <v>3/1</v>
      </c>
      <c r="I94" s="175">
        <f>IF(E2="","",S2)</f>
        <v>4</v>
      </c>
      <c r="J94" s="147">
        <f>INDEX(Picks!T:T,MATCH(G94,Picks!R:R,0))</f>
        <v>0</v>
      </c>
      <c r="K94" s="147">
        <f>IF(INDEX(Match!P:P,MATCH(A94,Match!A:A,0))="OFF",0,1)</f>
        <v>1</v>
      </c>
    </row>
    <row r="95" spans="1:11">
      <c r="A95" s="4">
        <v>2</v>
      </c>
      <c r="B95" s="90">
        <f>IF(Match!B3="","",Match!B3)</f>
        <v>45913</v>
      </c>
      <c r="C95" s="469">
        <f t="shared" si="8"/>
        <v>7</v>
      </c>
      <c r="E95" s="8"/>
      <c r="F95" s="8"/>
      <c r="G95" s="146" t="str">
        <f t="shared" si="9"/>
        <v>Forest</v>
      </c>
      <c r="H95" s="147" t="str">
        <f t="shared" si="10"/>
        <v>13/2</v>
      </c>
      <c r="I95" s="175">
        <f t="shared" ref="I95:I133" si="11">IF(E3="","",S3)</f>
        <v>7.5</v>
      </c>
      <c r="J95" s="147">
        <f>INDEX(Picks!T:T,MATCH(G95,Picks!R:R,0))</f>
        <v>0</v>
      </c>
      <c r="K95" s="147">
        <f>IF(INDEX(Match!P:P,MATCH(A95,Match!A:A,0))="OFF",0,1)</f>
        <v>1</v>
      </c>
    </row>
    <row r="96" spans="1:11">
      <c r="A96" s="4">
        <v>3</v>
      </c>
      <c r="B96" s="90">
        <f>IF(Match!B4="","",Match!B4)</f>
        <v>45913</v>
      </c>
      <c r="C96" s="469">
        <f t="shared" si="8"/>
        <v>7</v>
      </c>
      <c r="G96" s="146" t="str">
        <f t="shared" si="9"/>
        <v>Brighton</v>
      </c>
      <c r="H96" s="147" t="str">
        <f t="shared" si="10"/>
        <v>9/5</v>
      </c>
      <c r="I96" s="175">
        <f t="shared" si="11"/>
        <v>2.8</v>
      </c>
      <c r="J96" s="147">
        <f>INDEX(Picks!T:T,MATCH(G96,Picks!R:R,0))</f>
        <v>0</v>
      </c>
      <c r="K96" s="147">
        <f>IF(INDEX(Match!P:P,MATCH(A96,Match!A:A,0))="OFF",0,1)</f>
        <v>1</v>
      </c>
    </row>
    <row r="97" spans="1:11">
      <c r="A97" s="4">
        <v>4</v>
      </c>
      <c r="B97" s="90">
        <f>IF(Match!B5="","",Match!B5)</f>
        <v>45913</v>
      </c>
      <c r="C97" s="469">
        <f t="shared" si="8"/>
        <v>7</v>
      </c>
      <c r="G97" s="146" t="str">
        <f t="shared" si="9"/>
        <v>Chelsea</v>
      </c>
      <c r="H97" s="147" t="str">
        <f t="shared" si="10"/>
        <v>3/4</v>
      </c>
      <c r="I97" s="175">
        <f t="shared" si="11"/>
        <v>1.75</v>
      </c>
      <c r="J97" s="147">
        <f>INDEX(Picks!T:T,MATCH(G97,Picks!R:R,0))</f>
        <v>0</v>
      </c>
      <c r="K97" s="147">
        <f>IF(INDEX(Match!P:P,MATCH(A97,Match!A:A,0))="OFF",0,1)</f>
        <v>1</v>
      </c>
    </row>
    <row r="98" spans="1:11">
      <c r="A98" s="4">
        <v>5</v>
      </c>
      <c r="B98" s="90">
        <f>IF(Match!B6="","",Match!B6)</f>
        <v>45913</v>
      </c>
      <c r="C98" s="469">
        <f t="shared" si="8"/>
        <v>7</v>
      </c>
      <c r="G98" s="146" t="str">
        <f t="shared" si="9"/>
        <v>Villa</v>
      </c>
      <c r="H98" s="147" t="str">
        <f t="shared" si="10"/>
        <v>19/10</v>
      </c>
      <c r="I98" s="175">
        <f t="shared" si="11"/>
        <v>2.9</v>
      </c>
      <c r="J98" s="147">
        <f>INDEX(Picks!T:T,MATCH(G98,Picks!R:R,0))</f>
        <v>0</v>
      </c>
      <c r="K98" s="147">
        <f>IF(INDEX(Match!P:P,MATCH(A98,Match!A:A,0))="OFF",0,1)</f>
        <v>1</v>
      </c>
    </row>
    <row r="99" spans="1:11">
      <c r="A99" s="4">
        <v>6</v>
      </c>
      <c r="B99" s="90">
        <f>IF(Match!B7="","",Match!B7)</f>
        <v>45913</v>
      </c>
      <c r="C99" s="469">
        <f t="shared" si="8"/>
        <v>7</v>
      </c>
      <c r="G99" s="146" t="str">
        <f t="shared" si="9"/>
        <v>Leeds</v>
      </c>
      <c r="H99" s="147" t="str">
        <f t="shared" si="10"/>
        <v>29/10</v>
      </c>
      <c r="I99" s="175">
        <f t="shared" si="11"/>
        <v>3.9</v>
      </c>
      <c r="J99" s="147">
        <f>INDEX(Picks!T:T,MATCH(G99,Picks!R:R,0))</f>
        <v>0</v>
      </c>
      <c r="K99" s="147">
        <f>IF(INDEX(Match!P:P,MATCH(A99,Match!A:A,0))="OFF",0,1)</f>
        <v>1</v>
      </c>
    </row>
    <row r="100" spans="1:11">
      <c r="A100" s="4">
        <v>7</v>
      </c>
      <c r="B100" s="90">
        <f>IF(Match!B8="","",Match!B8)</f>
        <v>45913</v>
      </c>
      <c r="C100" s="469">
        <f t="shared" si="8"/>
        <v>7</v>
      </c>
      <c r="G100" s="146" t="str">
        <f t="shared" si="9"/>
        <v>Wolves</v>
      </c>
      <c r="H100" s="147" t="str">
        <f t="shared" si="10"/>
        <v>11/2</v>
      </c>
      <c r="I100" s="175">
        <f t="shared" si="11"/>
        <v>6.5</v>
      </c>
      <c r="J100" s="147">
        <f>INDEX(Picks!T:T,MATCH(G100,Picks!R:R,0))</f>
        <v>0</v>
      </c>
      <c r="K100" s="147">
        <f>IF(INDEX(Match!P:P,MATCH(A100,Match!A:A,0))="OFF",0,1)</f>
        <v>1</v>
      </c>
    </row>
    <row r="101" spans="1:11">
      <c r="A101" s="4">
        <v>8</v>
      </c>
      <c r="B101" s="90">
        <f>IF(Match!B9="","",Match!B9)</f>
        <v>45913</v>
      </c>
      <c r="C101" s="469">
        <f t="shared" si="8"/>
        <v>7</v>
      </c>
      <c r="G101" s="146" t="str">
        <f t="shared" si="9"/>
        <v>Sunderland</v>
      </c>
      <c r="H101" s="147" t="str">
        <f t="shared" si="10"/>
        <v>4/1</v>
      </c>
      <c r="I101" s="175">
        <f t="shared" si="11"/>
        <v>5</v>
      </c>
      <c r="J101" s="147">
        <f>INDEX(Picks!T:T,MATCH(G101,Picks!R:R,0))</f>
        <v>0</v>
      </c>
      <c r="K101" s="147">
        <f>IF(INDEX(Match!P:P,MATCH(A101,Match!A:A,0))="OFF",0,1)</f>
        <v>1</v>
      </c>
    </row>
    <row r="102" spans="1:11">
      <c r="A102" s="4">
        <v>9</v>
      </c>
      <c r="B102" s="90">
        <f>IF(Match!B10="","",Match!B10)</f>
        <v>45913</v>
      </c>
      <c r="C102" s="469">
        <f t="shared" si="8"/>
        <v>7</v>
      </c>
      <c r="G102" s="146" t="str">
        <f t="shared" si="9"/>
        <v>Spurs</v>
      </c>
      <c r="H102" s="147" t="str">
        <f t="shared" si="10"/>
        <v>23/20</v>
      </c>
      <c r="I102" s="175">
        <f t="shared" si="11"/>
        <v>2.15</v>
      </c>
      <c r="J102" s="147">
        <f>INDEX(Picks!T:T,MATCH(G102,Picks!R:R,0))</f>
        <v>1</v>
      </c>
      <c r="K102" s="147">
        <f>IF(INDEX(Match!P:P,MATCH(A102,Match!A:A,0))="OFF",0,1)</f>
        <v>1</v>
      </c>
    </row>
    <row r="103" spans="1:11">
      <c r="A103" s="4">
        <v>10</v>
      </c>
      <c r="B103" s="90">
        <f>IF(Match!B11="","",Match!B11)</f>
        <v>45913</v>
      </c>
      <c r="C103" s="469">
        <f t="shared" si="8"/>
        <v>7</v>
      </c>
      <c r="G103" s="146" t="str">
        <f t="shared" si="9"/>
        <v>Millwall</v>
      </c>
      <c r="H103" s="147" t="str">
        <f t="shared" si="10"/>
        <v>2/1</v>
      </c>
      <c r="I103" s="175">
        <f t="shared" si="11"/>
        <v>3</v>
      </c>
      <c r="J103" s="147">
        <f>INDEX(Picks!T:T,MATCH(G103,Picks!R:R,0))</f>
        <v>0</v>
      </c>
      <c r="K103" s="147">
        <f>IF(INDEX(Match!P:P,MATCH(A103,Match!A:A,0))="OFF",0,1)</f>
        <v>1</v>
      </c>
    </row>
    <row r="104" spans="1:11">
      <c r="A104" s="4">
        <v>11</v>
      </c>
      <c r="B104" s="90">
        <f>IF(Match!B12="","",Match!B12)</f>
        <v>45913</v>
      </c>
      <c r="C104" s="469">
        <f t="shared" si="8"/>
        <v>7</v>
      </c>
      <c r="G104" s="146" t="str">
        <f t="shared" si="9"/>
        <v>Norwich</v>
      </c>
      <c r="H104" s="147" t="str">
        <f t="shared" si="10"/>
        <v>7/2</v>
      </c>
      <c r="I104" s="175">
        <f t="shared" si="11"/>
        <v>4.5</v>
      </c>
      <c r="J104" s="147">
        <f>INDEX(Picks!T:T,MATCH(G104,Picks!R:R,0))</f>
        <v>0</v>
      </c>
      <c r="K104" s="147">
        <f>IF(INDEX(Match!P:P,MATCH(A104,Match!A:A,0))="OFF",0,1)</f>
        <v>1</v>
      </c>
    </row>
    <row r="105" spans="1:11">
      <c r="A105" s="4">
        <v>12</v>
      </c>
      <c r="B105" s="90">
        <f>IF(Match!B13="","",Match!B13)</f>
        <v>45913</v>
      </c>
      <c r="C105" s="469">
        <f t="shared" si="8"/>
        <v>7</v>
      </c>
      <c r="G105" s="146" t="str">
        <f t="shared" si="9"/>
        <v>Leicester</v>
      </c>
      <c r="H105" s="147" t="str">
        <f t="shared" si="10"/>
        <v>10/11</v>
      </c>
      <c r="I105" s="175">
        <f t="shared" si="11"/>
        <v>1.9090909090909092</v>
      </c>
      <c r="J105" s="147">
        <f>INDEX(Picks!T:T,MATCH(G105,Picks!R:R,0))</f>
        <v>0</v>
      </c>
      <c r="K105" s="147">
        <f>IF(INDEX(Match!P:P,MATCH(A105,Match!A:A,0))="OFF",0,1)</f>
        <v>1</v>
      </c>
    </row>
    <row r="106" spans="1:11">
      <c r="A106" s="4">
        <v>13</v>
      </c>
      <c r="B106" s="90">
        <f>IF(Match!B14="","",Match!B14)</f>
        <v>45913</v>
      </c>
      <c r="C106" s="469">
        <f t="shared" si="8"/>
        <v>7</v>
      </c>
      <c r="G106" s="146" t="str">
        <f t="shared" si="9"/>
        <v>Middlesbro</v>
      </c>
      <c r="H106" s="147" t="str">
        <f t="shared" si="10"/>
        <v>29/20</v>
      </c>
      <c r="I106" s="175">
        <f t="shared" si="11"/>
        <v>2.4500000000000002</v>
      </c>
      <c r="J106" s="147">
        <f>INDEX(Picks!T:T,MATCH(G106,Picks!R:R,0))</f>
        <v>0</v>
      </c>
      <c r="K106" s="147">
        <f>IF(INDEX(Match!P:P,MATCH(A106,Match!A:A,0))="OFF",0,1)</f>
        <v>1</v>
      </c>
    </row>
    <row r="107" spans="1:11">
      <c r="A107" s="4">
        <v>14</v>
      </c>
      <c r="B107" s="90">
        <f>IF(Match!B15="","",Match!B15)</f>
        <v>45913</v>
      </c>
      <c r="C107" s="469">
        <f t="shared" si="8"/>
        <v>7</v>
      </c>
      <c r="G107" s="146" t="str">
        <f t="shared" si="9"/>
        <v>Bristol C</v>
      </c>
      <c r="H107" s="147" t="str">
        <f t="shared" si="10"/>
        <v>11/10</v>
      </c>
      <c r="I107" s="175">
        <f t="shared" si="11"/>
        <v>2.1</v>
      </c>
      <c r="J107" s="147">
        <f>INDEX(Picks!T:T,MATCH(G107,Picks!R:R,0))</f>
        <v>1</v>
      </c>
      <c r="K107" s="147">
        <f>IF(INDEX(Match!P:P,MATCH(A107,Match!A:A,0))="OFF",0,1)</f>
        <v>1</v>
      </c>
    </row>
    <row r="108" spans="1:11">
      <c r="A108" s="4">
        <v>15</v>
      </c>
      <c r="B108" s="90">
        <f>IF(Match!B16="","",Match!B16)</f>
        <v>45913</v>
      </c>
      <c r="C108" s="469">
        <f t="shared" si="8"/>
        <v>7</v>
      </c>
      <c r="G108" s="146" t="str">
        <f t="shared" si="9"/>
        <v>Birmingham</v>
      </c>
      <c r="H108" s="147" t="str">
        <f t="shared" si="10"/>
        <v>13/10</v>
      </c>
      <c r="I108" s="175">
        <f t="shared" si="11"/>
        <v>2.2999999999999998</v>
      </c>
      <c r="J108" s="147">
        <f>INDEX(Picks!T:T,MATCH(G108,Picks!R:R,0))</f>
        <v>0</v>
      </c>
      <c r="K108" s="147">
        <f>IF(INDEX(Match!P:P,MATCH(A108,Match!A:A,0))="OFF",0,1)</f>
        <v>1</v>
      </c>
    </row>
    <row r="109" spans="1:11">
      <c r="A109" s="4">
        <v>16</v>
      </c>
      <c r="B109" s="90">
        <f>IF(Match!B17="","",Match!B17)</f>
        <v>45913</v>
      </c>
      <c r="C109" s="469">
        <f t="shared" si="8"/>
        <v>7</v>
      </c>
      <c r="G109" s="146" t="str">
        <f t="shared" si="9"/>
        <v>Hull</v>
      </c>
      <c r="H109" s="147" t="str">
        <f t="shared" si="10"/>
        <v>10/3</v>
      </c>
      <c r="I109" s="175">
        <f t="shared" si="11"/>
        <v>4.3333333333333339</v>
      </c>
      <c r="J109" s="147">
        <f>INDEX(Picks!T:T,MATCH(G109,Picks!R:R,0))</f>
        <v>0</v>
      </c>
      <c r="K109" s="147">
        <f>IF(INDEX(Match!P:P,MATCH(A109,Match!A:A,0))="OFF",0,1)</f>
        <v>1</v>
      </c>
    </row>
    <row r="110" spans="1:11">
      <c r="A110" s="4">
        <v>17</v>
      </c>
      <c r="B110" s="90">
        <f>IF(Match!B18="","",Match!B18)</f>
        <v>45913</v>
      </c>
      <c r="C110" s="469">
        <f t="shared" si="8"/>
        <v>7</v>
      </c>
      <c r="G110" s="146" t="str">
        <f t="shared" si="9"/>
        <v>Blackburn</v>
      </c>
      <c r="H110" s="147" t="str">
        <f t="shared" si="10"/>
        <v>9/5</v>
      </c>
      <c r="I110" s="175">
        <f t="shared" si="11"/>
        <v>2.8</v>
      </c>
      <c r="J110" s="147">
        <f>INDEX(Picks!T:T,MATCH(G110,Picks!R:R,0))</f>
        <v>1</v>
      </c>
      <c r="K110" s="147">
        <f>IF(INDEX(Match!P:P,MATCH(A110,Match!A:A,0))="OFF",0,1)</f>
        <v>1</v>
      </c>
    </row>
    <row r="111" spans="1:11">
      <c r="A111" s="4">
        <v>18</v>
      </c>
      <c r="B111" s="90">
        <f>IF(Match!B19="","",Match!B19)</f>
        <v>45913</v>
      </c>
      <c r="C111" s="469">
        <f t="shared" si="8"/>
        <v>7</v>
      </c>
      <c r="G111" s="146" t="str">
        <f t="shared" si="9"/>
        <v>Derby</v>
      </c>
      <c r="H111" s="147" t="str">
        <f t="shared" si="10"/>
        <v>7/2</v>
      </c>
      <c r="I111" s="175">
        <f t="shared" si="11"/>
        <v>4.5</v>
      </c>
      <c r="J111" s="147">
        <f>INDEX(Picks!T:T,MATCH(G111,Picks!R:R,0))</f>
        <v>1</v>
      </c>
      <c r="K111" s="147">
        <f>IF(INDEX(Match!P:P,MATCH(A111,Match!A:A,0))="OFF",0,1)</f>
        <v>1</v>
      </c>
    </row>
    <row r="112" spans="1:11">
      <c r="A112" s="4">
        <v>19</v>
      </c>
      <c r="B112" s="90">
        <f>IF(Match!B20="","",Match!B20)</f>
        <v>45913</v>
      </c>
      <c r="C112" s="469">
        <f t="shared" si="8"/>
        <v>7</v>
      </c>
      <c r="G112" s="146" t="str">
        <f t="shared" si="9"/>
        <v>QPR</v>
      </c>
      <c r="H112" s="147" t="str">
        <f t="shared" si="10"/>
        <v>3/1</v>
      </c>
      <c r="I112" s="175">
        <f t="shared" si="11"/>
        <v>4</v>
      </c>
      <c r="J112" s="147">
        <f>INDEX(Picks!T:T,MATCH(G112,Picks!R:R,0))</f>
        <v>1</v>
      </c>
      <c r="K112" s="147">
        <f>IF(INDEX(Match!P:P,MATCH(A112,Match!A:A,0))="OFF",0,1)</f>
        <v>1</v>
      </c>
    </row>
    <row r="113" spans="1:11">
      <c r="A113" s="4">
        <v>20</v>
      </c>
      <c r="B113" s="90">
        <f>IF(Match!B21="","",Match!B21)</f>
        <v>45913</v>
      </c>
      <c r="C113" s="469">
        <f t="shared" si="8"/>
        <v>7</v>
      </c>
      <c r="G113" s="146" t="str">
        <f t="shared" si="9"/>
        <v>Reading</v>
      </c>
      <c r="H113" s="147" t="str">
        <f t="shared" si="10"/>
        <v>14/5</v>
      </c>
      <c r="I113" s="175">
        <f t="shared" si="11"/>
        <v>3.8</v>
      </c>
      <c r="J113" s="147">
        <f>INDEX(Picks!T:T,MATCH(G113,Picks!R:R,0))</f>
        <v>0</v>
      </c>
      <c r="K113" s="147">
        <f>IF(INDEX(Match!P:P,MATCH(A113,Match!A:A,0))="OFF",0,1)</f>
        <v>1</v>
      </c>
    </row>
    <row r="114" spans="1:11">
      <c r="A114" s="4">
        <v>21</v>
      </c>
      <c r="B114" s="90">
        <f>IF(Match!B22="","",Match!B22)</f>
        <v>45913</v>
      </c>
      <c r="C114" s="469">
        <f t="shared" si="8"/>
        <v>7</v>
      </c>
      <c r="G114" s="146" t="str">
        <f t="shared" si="9"/>
        <v>Huddersfield</v>
      </c>
      <c r="H114" s="147" t="str">
        <f t="shared" si="10"/>
        <v>9/5</v>
      </c>
      <c r="I114" s="175">
        <f t="shared" si="11"/>
        <v>2.8</v>
      </c>
      <c r="J114" s="147">
        <f>INDEX(Picks!T:T,MATCH(G114,Picks!R:R,0))</f>
        <v>0</v>
      </c>
      <c r="K114" s="147">
        <f>IF(INDEX(Match!P:P,MATCH(A114,Match!A:A,0))="OFF",0,1)</f>
        <v>1</v>
      </c>
    </row>
    <row r="115" spans="1:11">
      <c r="A115" s="4">
        <v>22</v>
      </c>
      <c r="B115" s="90">
        <f>IF(Match!B23="","",Match!B23)</f>
        <v>45913</v>
      </c>
      <c r="C115" s="469">
        <f t="shared" si="8"/>
        <v>7</v>
      </c>
      <c r="G115" s="146" t="str">
        <f t="shared" si="9"/>
        <v>Lincoln</v>
      </c>
      <c r="H115" s="147" t="str">
        <f t="shared" si="10"/>
        <v>7/5</v>
      </c>
      <c r="I115" s="175">
        <f t="shared" si="11"/>
        <v>2.4</v>
      </c>
      <c r="J115" s="147">
        <f>INDEX(Picks!T:T,MATCH(G115,Picks!R:R,0))</f>
        <v>1</v>
      </c>
      <c r="K115" s="147">
        <f>IF(INDEX(Match!P:P,MATCH(A115,Match!A:A,0))="OFF",0,1)</f>
        <v>1</v>
      </c>
    </row>
    <row r="116" spans="1:11">
      <c r="A116" s="4">
        <v>23</v>
      </c>
      <c r="B116" s="90">
        <f>IF(Match!B24="","",Match!B24)</f>
        <v>45913</v>
      </c>
      <c r="C116" s="469">
        <f t="shared" si="8"/>
        <v>7</v>
      </c>
      <c r="G116" s="146" t="str">
        <f t="shared" si="9"/>
        <v>Port Vale</v>
      </c>
      <c r="H116" s="147" t="str">
        <f t="shared" si="10"/>
        <v>6/4</v>
      </c>
      <c r="I116" s="175">
        <f t="shared" si="11"/>
        <v>2.5</v>
      </c>
      <c r="J116" s="147">
        <f>INDEX(Picks!T:T,MATCH(G116,Picks!R:R,0))</f>
        <v>1</v>
      </c>
      <c r="K116" s="147">
        <f>IF(INDEX(Match!P:P,MATCH(A116,Match!A:A,0))="OFF",0,1)</f>
        <v>1</v>
      </c>
    </row>
    <row r="117" spans="1:11">
      <c r="A117" s="4">
        <v>24</v>
      </c>
      <c r="B117" s="90">
        <f>IF(Match!B25="","",Match!B25)</f>
        <v>45913</v>
      </c>
      <c r="C117" s="469">
        <f t="shared" si="8"/>
        <v>7</v>
      </c>
      <c r="G117" s="146" t="str">
        <f t="shared" si="9"/>
        <v>Plymouth</v>
      </c>
      <c r="H117" s="147" t="str">
        <f t="shared" si="10"/>
        <v>5/1</v>
      </c>
      <c r="I117" s="175">
        <f t="shared" si="11"/>
        <v>6</v>
      </c>
      <c r="J117" s="147">
        <f>INDEX(Picks!T:T,MATCH(G117,Picks!R:R,0))</f>
        <v>1</v>
      </c>
      <c r="K117" s="147">
        <f>IF(INDEX(Match!P:P,MATCH(A117,Match!A:A,0))="OFF",0,1)</f>
        <v>1</v>
      </c>
    </row>
    <row r="118" spans="1:11">
      <c r="A118" s="4">
        <v>25</v>
      </c>
      <c r="B118" s="90">
        <f>IF(Match!B26="","",Match!B26)</f>
        <v>45913</v>
      </c>
      <c r="C118" s="469">
        <f t="shared" si="8"/>
        <v>7</v>
      </c>
      <c r="G118" s="146" t="str">
        <f t="shared" si="9"/>
        <v>Stevenage</v>
      </c>
      <c r="H118" s="147" t="str">
        <f t="shared" si="10"/>
        <v>9/5</v>
      </c>
      <c r="I118" s="175">
        <f t="shared" si="11"/>
        <v>2.8</v>
      </c>
      <c r="J118" s="147">
        <f>INDEX(Picks!T:T,MATCH(G118,Picks!R:R,0))</f>
        <v>0</v>
      </c>
      <c r="K118" s="147">
        <f>IF(INDEX(Match!P:P,MATCH(A118,Match!A:A,0))="OFF",0,1)</f>
        <v>1</v>
      </c>
    </row>
    <row r="119" spans="1:11">
      <c r="A119" s="4">
        <v>26</v>
      </c>
      <c r="B119" s="90">
        <f>IF(Match!B27="","",Match!B27)</f>
        <v>45913</v>
      </c>
      <c r="C119" s="469">
        <f t="shared" si="8"/>
        <v>7</v>
      </c>
      <c r="G119" s="146" t="str">
        <f t="shared" si="9"/>
        <v>Blackpool</v>
      </c>
      <c r="H119" s="147" t="str">
        <f t="shared" si="10"/>
        <v>13/8</v>
      </c>
      <c r="I119" s="175">
        <f t="shared" si="11"/>
        <v>2.625</v>
      </c>
      <c r="J119" s="147">
        <f>INDEX(Picks!T:T,MATCH(G119,Picks!R:R,0))</f>
        <v>0</v>
      </c>
      <c r="K119" s="147">
        <f>IF(INDEX(Match!P:P,MATCH(A119,Match!A:A,0))="OFF",0,1)</f>
        <v>1</v>
      </c>
    </row>
    <row r="120" spans="1:11">
      <c r="A120" s="4">
        <v>27</v>
      </c>
      <c r="B120" s="90">
        <f>IF(Match!B28="","",Match!B28)</f>
        <v>45913</v>
      </c>
      <c r="C120" s="469">
        <f t="shared" si="8"/>
        <v>7</v>
      </c>
      <c r="G120" s="146" t="str">
        <f t="shared" si="9"/>
        <v>Bolton</v>
      </c>
      <c r="H120" s="147" t="str">
        <f t="shared" si="10"/>
        <v>13/10</v>
      </c>
      <c r="I120" s="175">
        <f t="shared" si="11"/>
        <v>2.2999999999999998</v>
      </c>
      <c r="J120" s="147">
        <f>INDEX(Picks!T:T,MATCH(G120,Picks!R:R,0))</f>
        <v>0</v>
      </c>
      <c r="K120" s="147">
        <f>IF(INDEX(Match!P:P,MATCH(A120,Match!A:A,0))="OFF",0,1)</f>
        <v>1</v>
      </c>
    </row>
    <row r="121" spans="1:11">
      <c r="A121" s="4">
        <v>28</v>
      </c>
      <c r="B121" s="90">
        <f>IF(Match!B29="","",Match!B29)</f>
        <v>45913</v>
      </c>
      <c r="C121" s="469">
        <f t="shared" si="8"/>
        <v>7</v>
      </c>
      <c r="G121" s="146" t="str">
        <f t="shared" si="9"/>
        <v>Wycombe</v>
      </c>
      <c r="H121" s="147" t="str">
        <f t="shared" si="10"/>
        <v>23/20</v>
      </c>
      <c r="I121" s="175">
        <f t="shared" si="11"/>
        <v>2.15</v>
      </c>
      <c r="J121" s="147">
        <f>INDEX(Picks!T:T,MATCH(G121,Picks!R:R,0))</f>
        <v>0</v>
      </c>
      <c r="K121" s="147">
        <f>IF(INDEX(Match!P:P,MATCH(A121,Match!A:A,0))="OFF",0,1)</f>
        <v>1</v>
      </c>
    </row>
    <row r="122" spans="1:11">
      <c r="A122" s="4">
        <v>29</v>
      </c>
      <c r="B122" s="90">
        <f>IF(Match!B30="","",Match!B30)</f>
        <v>45913</v>
      </c>
      <c r="C122" s="469">
        <f t="shared" si="8"/>
        <v>7</v>
      </c>
      <c r="G122" s="146" t="str">
        <f t="shared" si="9"/>
        <v>Cardiff</v>
      </c>
      <c r="H122" s="147" t="str">
        <f t="shared" si="10"/>
        <v>6/4</v>
      </c>
      <c r="I122" s="175">
        <f t="shared" si="11"/>
        <v>2.5</v>
      </c>
      <c r="J122" s="147">
        <f>INDEX(Picks!T:T,MATCH(G122,Picks!R:R,0))</f>
        <v>0</v>
      </c>
      <c r="K122" s="147">
        <f>IF(INDEX(Match!P:P,MATCH(A122,Match!A:A,0))="OFF",0,1)</f>
        <v>1</v>
      </c>
    </row>
    <row r="123" spans="1:11">
      <c r="A123" s="4">
        <v>30</v>
      </c>
      <c r="B123" s="90">
        <f>IF(Match!B31="","",Match!B31)</f>
        <v>45913</v>
      </c>
      <c r="C123" s="469">
        <f t="shared" si="8"/>
        <v>7</v>
      </c>
      <c r="G123" s="146" t="str">
        <f t="shared" si="9"/>
        <v>Doncaster</v>
      </c>
      <c r="H123" s="147" t="str">
        <f t="shared" si="10"/>
        <v>7/4</v>
      </c>
      <c r="I123" s="175">
        <f t="shared" si="11"/>
        <v>2.75</v>
      </c>
      <c r="J123" s="147">
        <f>INDEX(Picks!T:T,MATCH(G123,Picks!R:R,0))</f>
        <v>0</v>
      </c>
      <c r="K123" s="147">
        <f>IF(INDEX(Match!P:P,MATCH(A123,Match!A:A,0))="OFF",0,1)</f>
        <v>1</v>
      </c>
    </row>
    <row r="124" spans="1:11">
      <c r="A124" s="4">
        <v>31</v>
      </c>
      <c r="B124" s="90">
        <f>IF(Match!B32="","",Match!B32)</f>
        <v>45913</v>
      </c>
      <c r="C124" s="469">
        <f t="shared" si="8"/>
        <v>7</v>
      </c>
      <c r="G124" s="146" t="str">
        <f t="shared" si="9"/>
        <v>Rotherham</v>
      </c>
      <c r="H124" s="147" t="str">
        <f t="shared" si="10"/>
        <v>13/8</v>
      </c>
      <c r="I124" s="175">
        <f t="shared" si="11"/>
        <v>2.625</v>
      </c>
      <c r="J124" s="147">
        <f>INDEX(Picks!T:T,MATCH(G124,Picks!R:R,0))</f>
        <v>0</v>
      </c>
      <c r="K124" s="147">
        <f>IF(INDEX(Match!P:P,MATCH(A124,Match!A:A,0))="OFF",0,1)</f>
        <v>1</v>
      </c>
    </row>
    <row r="125" spans="1:11">
      <c r="A125" s="4">
        <v>32</v>
      </c>
      <c r="B125" s="90">
        <f>IF(Match!B33="","",Match!B33)</f>
        <v>45913</v>
      </c>
      <c r="C125" s="469">
        <f t="shared" si="8"/>
        <v>7</v>
      </c>
      <c r="G125" s="146" t="str">
        <f t="shared" si="9"/>
        <v>Colchester</v>
      </c>
      <c r="H125" s="147" t="str">
        <f t="shared" si="10"/>
        <v>6/4</v>
      </c>
      <c r="I125" s="175">
        <f t="shared" si="11"/>
        <v>2.5</v>
      </c>
      <c r="J125" s="147">
        <f>INDEX(Picks!T:T,MATCH(G125,Picks!R:R,0))</f>
        <v>0</v>
      </c>
      <c r="K125" s="147">
        <f>IF(INDEX(Match!P:P,MATCH(A125,Match!A:A,0))="OFF",0,1)</f>
        <v>1</v>
      </c>
    </row>
    <row r="126" spans="1:11">
      <c r="A126" s="4">
        <v>33</v>
      </c>
      <c r="B126" s="90">
        <f>IF(Match!B34="","",Match!B34)</f>
        <v>45913</v>
      </c>
      <c r="C126" s="469">
        <f t="shared" si="8"/>
        <v>7</v>
      </c>
      <c r="G126" s="146" t="str">
        <f t="shared" si="9"/>
        <v>Barrow</v>
      </c>
      <c r="H126" s="147" t="str">
        <f t="shared" si="10"/>
        <v>14/5</v>
      </c>
      <c r="I126" s="175">
        <f t="shared" si="11"/>
        <v>3.8</v>
      </c>
      <c r="J126" s="147">
        <f>INDEX(Picks!T:T,MATCH(G126,Picks!R:R,0))</f>
        <v>0</v>
      </c>
      <c r="K126" s="147">
        <f>IF(INDEX(Match!P:P,MATCH(A126,Match!A:A,0))="OFF",0,1)</f>
        <v>1</v>
      </c>
    </row>
    <row r="127" spans="1:11">
      <c r="A127" s="4">
        <v>34</v>
      </c>
      <c r="B127" s="90">
        <f>IF(Match!B35="","",Match!B35)</f>
        <v>45913</v>
      </c>
      <c r="C127" s="469">
        <f t="shared" si="8"/>
        <v>7</v>
      </c>
      <c r="G127" s="146" t="str">
        <f t="shared" si="9"/>
        <v>MK Dons</v>
      </c>
      <c r="H127" s="147" t="str">
        <f t="shared" si="10"/>
        <v>9/4</v>
      </c>
      <c r="I127" s="175">
        <f t="shared" si="11"/>
        <v>3.25</v>
      </c>
      <c r="J127" s="147">
        <f>INDEX(Picks!T:T,MATCH(G127,Picks!R:R,0))</f>
        <v>0</v>
      </c>
      <c r="K127" s="147">
        <f>IF(INDEX(Match!P:P,MATCH(A127,Match!A:A,0))="OFF",0,1)</f>
        <v>1</v>
      </c>
    </row>
    <row r="128" spans="1:11">
      <c r="A128" s="4">
        <v>35</v>
      </c>
      <c r="B128" s="90">
        <f>IF(Match!B36="","",Match!B36)</f>
        <v>45913</v>
      </c>
      <c r="C128" s="469">
        <f t="shared" si="8"/>
        <v>7</v>
      </c>
      <c r="G128" s="146" t="str">
        <f t="shared" si="9"/>
        <v>Cheltenham</v>
      </c>
      <c r="H128" s="147" t="str">
        <f t="shared" si="10"/>
        <v>14/5</v>
      </c>
      <c r="I128" s="175">
        <f t="shared" si="11"/>
        <v>3.8</v>
      </c>
      <c r="J128" s="147">
        <f>INDEX(Picks!T:T,MATCH(G128,Picks!R:R,0))</f>
        <v>0</v>
      </c>
      <c r="K128" s="147">
        <f>IF(INDEX(Match!P:P,MATCH(A128,Match!A:A,0))="OFF",0,1)</f>
        <v>1</v>
      </c>
    </row>
    <row r="129" spans="1:11">
      <c r="A129" s="4">
        <v>36</v>
      </c>
      <c r="B129" s="90">
        <f>IF(Match!B37="","",Match!B37)</f>
        <v>45913</v>
      </c>
      <c r="C129" s="469">
        <f t="shared" si="8"/>
        <v>7</v>
      </c>
      <c r="G129" s="146" t="str">
        <f t="shared" si="9"/>
        <v>Barnet</v>
      </c>
      <c r="H129" s="147" t="str">
        <f t="shared" si="10"/>
        <v>13/8</v>
      </c>
      <c r="I129" s="175">
        <f t="shared" si="11"/>
        <v>2.625</v>
      </c>
      <c r="J129" s="147">
        <f>INDEX(Picks!T:T,MATCH(G129,Picks!R:R,0))</f>
        <v>1</v>
      </c>
      <c r="K129" s="147">
        <f>IF(INDEX(Match!P:P,MATCH(A129,Match!A:A,0))="OFF",0,1)</f>
        <v>1</v>
      </c>
    </row>
    <row r="130" spans="1:11">
      <c r="A130" s="4">
        <v>37</v>
      </c>
      <c r="B130" s="90">
        <f>IF(Match!B38="","",Match!B38)</f>
        <v>45913</v>
      </c>
      <c r="C130" s="469">
        <f t="shared" si="8"/>
        <v>7</v>
      </c>
      <c r="G130" s="146" t="str">
        <f t="shared" si="9"/>
        <v>Walsall</v>
      </c>
      <c r="H130" s="147" t="str">
        <f t="shared" si="10"/>
        <v>6/4</v>
      </c>
      <c r="I130" s="175">
        <f t="shared" si="11"/>
        <v>2.5</v>
      </c>
      <c r="J130" s="147">
        <f>INDEX(Picks!T:T,MATCH(G130,Picks!R:R,0))</f>
        <v>0</v>
      </c>
      <c r="K130" s="147">
        <f>IF(INDEX(Match!P:P,MATCH(A130,Match!A:A,0))="OFF",0,1)</f>
        <v>1</v>
      </c>
    </row>
    <row r="131" spans="1:11">
      <c r="A131" s="4">
        <v>38</v>
      </c>
      <c r="B131" s="90">
        <f>IF(Match!B39="","",Match!B39)</f>
        <v>45913</v>
      </c>
      <c r="C131" s="469">
        <f t="shared" ref="C131:C139" si="12">IF(B131="","",WEEKDAY(B131))</f>
        <v>7</v>
      </c>
      <c r="G131" s="146" t="str">
        <f t="shared" si="9"/>
        <v>Notts Co</v>
      </c>
      <c r="H131" s="147" t="str">
        <f t="shared" si="10"/>
        <v>2/1</v>
      </c>
      <c r="I131" s="175">
        <f t="shared" si="11"/>
        <v>3</v>
      </c>
      <c r="J131" s="147">
        <f>INDEX(Picks!T:T,MATCH(G131,Picks!R:R,0))</f>
        <v>0</v>
      </c>
      <c r="K131" s="147">
        <f>IF(INDEX(Match!P:P,MATCH(A131,Match!A:A,0))="OFF",0,1)</f>
        <v>1</v>
      </c>
    </row>
    <row r="132" spans="1:11">
      <c r="A132" s="4">
        <v>39</v>
      </c>
      <c r="B132" s="90">
        <f>IF(Match!B40="","",Match!B40)</f>
        <v>45913</v>
      </c>
      <c r="C132" s="469">
        <f t="shared" si="12"/>
        <v>7</v>
      </c>
      <c r="G132" s="146" t="str">
        <f t="shared" si="9"/>
        <v>Cambridge</v>
      </c>
      <c r="H132" s="147" t="str">
        <f t="shared" si="10"/>
        <v>11/5</v>
      </c>
      <c r="I132" s="175">
        <f t="shared" si="11"/>
        <v>3.2</v>
      </c>
      <c r="J132" s="147">
        <f>INDEX(Picks!T:T,MATCH(G132,Picks!R:R,0))</f>
        <v>0</v>
      </c>
      <c r="K132" s="147">
        <f>IF(INDEX(Match!P:P,MATCH(A132,Match!A:A,0))="OFF",0,1)</f>
        <v>1</v>
      </c>
    </row>
    <row r="133" spans="1:11">
      <c r="A133" s="4">
        <v>40</v>
      </c>
      <c r="B133" s="90">
        <f>IF(Match!B41="","",Match!B41)</f>
        <v>45913</v>
      </c>
      <c r="C133" s="469">
        <f t="shared" si="12"/>
        <v>7</v>
      </c>
      <c r="G133" s="146" t="str">
        <f t="shared" si="9"/>
        <v>Bromley</v>
      </c>
      <c r="H133" s="147" t="str">
        <f t="shared" si="10"/>
        <v>7/4</v>
      </c>
      <c r="I133" s="175">
        <f t="shared" si="11"/>
        <v>2.75</v>
      </c>
      <c r="J133" s="147">
        <f>INDEX(Picks!T:T,MATCH(G133,Picks!R:R,0))</f>
        <v>0</v>
      </c>
      <c r="K133" s="147">
        <f>IF(INDEX(Match!P:P,MATCH(A133,Match!A:A,0))="OFF",0,1)</f>
        <v>1</v>
      </c>
    </row>
    <row r="134" spans="1:11">
      <c r="A134" s="4">
        <v>41</v>
      </c>
      <c r="B134" s="90">
        <f>IF(Match!B42="","",Match!B42)</f>
        <v>45913</v>
      </c>
      <c r="C134" s="469">
        <f t="shared" si="12"/>
        <v>7</v>
      </c>
      <c r="G134" s="146" t="str">
        <f t="shared" ref="G134:G139" si="13">IF(E42="","",N42)</f>
        <v>Salford</v>
      </c>
      <c r="H134" s="147" t="str">
        <f t="shared" ref="H134:H139" si="14">IF(E42="","",P42)</f>
        <v>6/4</v>
      </c>
      <c r="I134" s="175">
        <f t="shared" ref="I134:I139" si="15">IF(E42="","",S42)</f>
        <v>2.5</v>
      </c>
      <c r="J134" s="147">
        <f>INDEX(Picks!T:T,MATCH(G134,Picks!R:R,0))</f>
        <v>1</v>
      </c>
      <c r="K134" s="147">
        <f>IF(INDEX(Match!P:P,MATCH(A134,Match!A:A,0))="OFF",0,1)</f>
        <v>1</v>
      </c>
    </row>
    <row r="135" spans="1:11">
      <c r="A135" s="4">
        <v>42</v>
      </c>
      <c r="B135" s="90">
        <f>IF(Match!B43="","",Match!B43)</f>
        <v>45913</v>
      </c>
      <c r="C135" s="469">
        <f t="shared" si="12"/>
        <v>7</v>
      </c>
      <c r="G135" s="146" t="str">
        <f t="shared" si="13"/>
        <v>Harrogate</v>
      </c>
      <c r="H135" s="147" t="str">
        <f t="shared" si="14"/>
        <v>7/2</v>
      </c>
      <c r="I135" s="175">
        <f t="shared" si="15"/>
        <v>4.5</v>
      </c>
      <c r="J135" s="147">
        <f>INDEX(Picks!T:T,MATCH(G135,Picks!R:R,0))</f>
        <v>0</v>
      </c>
      <c r="K135" s="147">
        <f>IF(INDEX(Match!P:P,MATCH(A135,Match!A:A,0))="OFF",0,1)</f>
        <v>1</v>
      </c>
    </row>
    <row r="136" spans="1:11">
      <c r="A136" s="4">
        <v>43</v>
      </c>
      <c r="B136" s="90">
        <f>IF(Match!B44="","",Match!B44)</f>
        <v>45913</v>
      </c>
      <c r="C136" s="469">
        <f t="shared" si="12"/>
        <v>7</v>
      </c>
      <c r="G136" s="146" t="str">
        <f t="shared" si="13"/>
        <v>Newport</v>
      </c>
      <c r="H136" s="147" t="str">
        <f t="shared" si="14"/>
        <v>4/1</v>
      </c>
      <c r="I136" s="175">
        <f t="shared" si="15"/>
        <v>5</v>
      </c>
      <c r="J136" s="147">
        <f>INDEX(Picks!T:T,MATCH(G136,Picks!R:R,0))</f>
        <v>0</v>
      </c>
      <c r="K136" s="147">
        <f>IF(INDEX(Match!P:P,MATCH(A136,Match!A:A,0))="OFF",0,1)</f>
        <v>1</v>
      </c>
    </row>
    <row r="137" spans="1:11">
      <c r="A137" s="4">
        <v>44</v>
      </c>
      <c r="B137" s="90">
        <f>IF(Match!B45="","",Match!B45)</f>
        <v>45914</v>
      </c>
      <c r="C137" s="469">
        <f t="shared" si="12"/>
        <v>1</v>
      </c>
      <c r="G137" s="146" t="str">
        <f t="shared" si="13"/>
        <v>Liverpool</v>
      </c>
      <c r="H137" s="147" t="str">
        <f t="shared" si="14"/>
        <v>3/10</v>
      </c>
      <c r="I137" s="175">
        <f t="shared" si="15"/>
        <v>1.3</v>
      </c>
      <c r="J137" s="147">
        <f>INDEX(Picks!T:T,MATCH(G137,Picks!R:R,0))</f>
        <v>1</v>
      </c>
      <c r="K137" s="147">
        <f>IF(INDEX(Match!P:P,MATCH(A137,Match!A:A,0))="OFF",0,1)</f>
        <v>1</v>
      </c>
    </row>
    <row r="138" spans="1:11">
      <c r="A138" s="4">
        <v>45</v>
      </c>
      <c r="B138" s="90">
        <f>IF(Match!B46="","",Match!B46)</f>
        <v>45914</v>
      </c>
      <c r="C138" s="469">
        <f t="shared" si="12"/>
        <v>1</v>
      </c>
      <c r="G138" s="146" t="str">
        <f t="shared" si="13"/>
        <v>Man U</v>
      </c>
      <c r="H138" s="147" t="str">
        <f t="shared" si="14"/>
        <v>18/5</v>
      </c>
      <c r="I138" s="175">
        <f t="shared" si="15"/>
        <v>4.5999999999999996</v>
      </c>
      <c r="J138" s="147">
        <f>INDEX(Picks!T:T,MATCH(G138,Picks!R:R,0))</f>
        <v>0</v>
      </c>
      <c r="K138" s="147">
        <f>IF(INDEX(Match!P:P,MATCH(A138,Match!A:A,0))="OFF",0,1)</f>
        <v>1</v>
      </c>
    </row>
    <row r="139" spans="1:11">
      <c r="A139" s="4">
        <v>46</v>
      </c>
      <c r="B139" s="90">
        <f>IF(Match!B47="","",Match!B47)</f>
        <v>45914</v>
      </c>
      <c r="C139" s="469">
        <f t="shared" si="12"/>
        <v>1</v>
      </c>
      <c r="G139" s="146" t="str">
        <f t="shared" si="13"/>
        <v>Portsmouth</v>
      </c>
      <c r="H139" s="147" t="str">
        <f t="shared" si="14"/>
        <v>18/5</v>
      </c>
      <c r="I139" s="175">
        <f t="shared" si="15"/>
        <v>4.5999999999999996</v>
      </c>
      <c r="J139" s="147">
        <f>INDEX(Picks!T:T,MATCH(G139,Picks!R:R,0))</f>
        <v>0</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55"/>
      <c r="B1" s="361" t="s">
        <v>124</v>
      </c>
      <c r="C1" s="361" t="s">
        <v>337</v>
      </c>
      <c r="D1" s="361" t="s">
        <v>343</v>
      </c>
      <c r="E1" s="361" t="s">
        <v>407</v>
      </c>
      <c r="F1" s="361" t="s">
        <v>127</v>
      </c>
      <c r="G1" s="361" t="s">
        <v>338</v>
      </c>
      <c r="I1" s="355"/>
      <c r="J1" s="361" t="s">
        <v>343</v>
      </c>
      <c r="K1" s="361" t="s">
        <v>407</v>
      </c>
      <c r="L1" s="361" t="s">
        <v>344</v>
      </c>
    </row>
    <row r="2" spans="1:12" ht="18" customHeight="1">
      <c r="A2" s="356" t="s">
        <v>281</v>
      </c>
      <c r="B2" s="357" t="e">
        <f>IF(A2="","",INDEX(Table!I:I,MATCH(A2,Table!$F:$F,0)))</f>
        <v>#N/A</v>
      </c>
      <c r="C2" s="358" t="e">
        <f>IF(A2="","",INDEX(Table!J:J,MATCH(A2,Table!$F:$F,0)))</f>
        <v>#N/A</v>
      </c>
      <c r="D2" s="364" t="str">
        <f>IF(A2="","",IF(ISERROR(INDEX(Results!AI:AI,MATCH(A2,Results!$V:$V,0))),"TBC",INDEX(Results!AI:AI,MATCH(A2,Results!$V:$V,0))))</f>
        <v>TBC</v>
      </c>
      <c r="E2" s="357" t="e">
        <f>IF(A2="","",INDEX(Table!K:K,MATCH(A2,Table!$F:$F,0)))</f>
        <v>#N/A</v>
      </c>
      <c r="F2" s="358" t="e">
        <f>IF(A2="","",INDEX(Table!L:L,MATCH(A2,Table!$F:$F,0)))</f>
        <v>#N/A</v>
      </c>
      <c r="G2" s="358" t="e">
        <f>IF(A2="","",INDEX(Picks!AG:AG,MATCH(A2,Picks!$AD:$AD,0)))</f>
        <v>#N/A</v>
      </c>
      <c r="I2" s="356" t="s">
        <v>292</v>
      </c>
      <c r="J2" s="364">
        <f>IF(I2="","",IF(ISERROR(INDEX(Results!AI:AI,MATCH(I2,Results!$V:$V,0))),"TBC",INDEX(Results!AI:AI,MATCH(I2,Results!$V:$V,0))))</f>
        <v>27.42</v>
      </c>
      <c r="K2" s="364">
        <f>IF(I2="","",IF(ISERROR(INDEX(Results!T:T,MATCH(I2,Results!$V:$V,0))),"TBC",INDEX(Results!T:T,MATCH(I2,Results!$V:$V,0))))</f>
        <v>2.2666666666666675</v>
      </c>
      <c r="L2" s="357">
        <f>IF(I2="","",INDEX(Table!I:I,MATCH(I2,Table!$F:$F,0)))</f>
        <v>-21.733333333333334</v>
      </c>
    </row>
    <row r="3" spans="1:12" ht="18" customHeight="1">
      <c r="A3" s="356" t="s">
        <v>295</v>
      </c>
      <c r="B3" s="357" t="e">
        <f>IF(A3="","",INDEX(Table!I:I,MATCH(A3,Table!$F:$F,0)))</f>
        <v>#N/A</v>
      </c>
      <c r="C3" s="358" t="e">
        <f>IF(A3="","",INDEX(Table!J:J,MATCH(A3,Table!$F:$F,0)))</f>
        <v>#N/A</v>
      </c>
      <c r="D3" s="364" t="str">
        <f>IF(A3="","",IF(ISERROR(INDEX(Results!AI:AI,MATCH(A3,Results!$V:$V,0))),"TBC",INDEX(Results!AI:AI,MATCH(A3,Results!$V:$V,0))))</f>
        <v>TBC</v>
      </c>
      <c r="E3" s="357" t="e">
        <f>IF(A3="","",INDEX(Table!K:K,MATCH(A3,Table!$F:$F,0)))</f>
        <v>#N/A</v>
      </c>
      <c r="F3" s="358" t="e">
        <f>IF(A3="","",INDEX(Table!L:L,MATCH(A3,Table!$F:$F,0)))</f>
        <v>#N/A</v>
      </c>
      <c r="G3" s="358" t="e">
        <f>IF(A3="","",INDEX(Picks!AG:AG,MATCH(A3,Picks!$AD:$AD,0)))</f>
        <v>#N/A</v>
      </c>
      <c r="I3" s="356" t="s">
        <v>295</v>
      </c>
      <c r="J3" s="364" t="str">
        <f>IF(I3="","",IF(ISERROR(INDEX(Results!AI:AI,MATCH(I3,Results!$V:$V,0))),"TBC",INDEX(Results!AI:AI,MATCH(I3,Results!$V:$V,0))))</f>
        <v>TBC</v>
      </c>
      <c r="K3" s="364" t="str">
        <f>IF(I3="","",IF(ISERROR(INDEX(Results!T:T,MATCH(I3,Results!$V:$V,0))),"TBC",INDEX(Results!T:T,MATCH(I3,Results!$V:$V,0))))</f>
        <v>TBC</v>
      </c>
      <c r="L3" s="357" t="e">
        <f>IF(I3="","",INDEX(Table!I:I,MATCH(I3,Table!$F:$F,0)))</f>
        <v>#N/A</v>
      </c>
    </row>
    <row r="4" spans="1:12" ht="18" customHeight="1">
      <c r="A4" s="356" t="s">
        <v>272</v>
      </c>
      <c r="B4" s="357" t="e">
        <f>IF(A4="","",INDEX(Table!I:I,MATCH(A4,Table!$F:$F,0)))</f>
        <v>#N/A</v>
      </c>
      <c r="C4" s="358" t="e">
        <f>IF(A4="","",INDEX(Table!J:J,MATCH(A4,Table!$F:$F,0)))</f>
        <v>#N/A</v>
      </c>
      <c r="D4" s="364" t="str">
        <f>IF(A4="","",IF(ISERROR(INDEX(Results!AI:AI,MATCH(A4,Results!$V:$V,0))),"TBC",INDEX(Results!AI:AI,MATCH(A4,Results!$V:$V,0))))</f>
        <v>TBC</v>
      </c>
      <c r="E4" s="357" t="e">
        <f>IF(A4="","",INDEX(Table!K:K,MATCH(A4,Table!$F:$F,0)))</f>
        <v>#N/A</v>
      </c>
      <c r="F4" s="358" t="e">
        <f>IF(A4="","",INDEX(Table!L:L,MATCH(A4,Table!$F:$F,0)))</f>
        <v>#N/A</v>
      </c>
      <c r="G4" s="358" t="e">
        <f>IF(A4="","",INDEX(Picks!AG:AG,MATCH(A4,Picks!$AD:$AD,0)))</f>
        <v>#N/A</v>
      </c>
      <c r="I4" s="356" t="s">
        <v>280</v>
      </c>
      <c r="J4" s="364" t="str">
        <f>IF(I4="","",IF(ISERROR(INDEX(Results!AI:AI,MATCH(I4,Results!$V:$V,0))),"TBC",INDEX(Results!AI:AI,MATCH(I4,Results!$V:$V,0))))</f>
        <v>TBC</v>
      </c>
      <c r="K4" s="364" t="str">
        <f>IF(I4="","",IF(ISERROR(INDEX(Results!T:T,MATCH(I4,Results!$V:$V,0))),"TBC",INDEX(Results!T:T,MATCH(I4,Results!$V:$V,0))))</f>
        <v>TBC</v>
      </c>
      <c r="L4" s="357" t="e">
        <f>IF(I4="","",INDEX(Table!I:I,MATCH(I4,Table!$F:$F,0)))</f>
        <v>#N/A</v>
      </c>
    </row>
    <row r="5" spans="1:12" ht="18" customHeight="1">
      <c r="A5" s="356" t="s">
        <v>292</v>
      </c>
      <c r="B5" s="357">
        <f>IF(A5="","",INDEX(Table!I:I,MATCH(A5,Table!$F:$F,0)))</f>
        <v>-21.733333333333334</v>
      </c>
      <c r="C5" s="358">
        <f>IF(A5="","",INDEX(Table!J:J,MATCH(A5,Table!$F:$F,0)))</f>
        <v>4</v>
      </c>
      <c r="D5" s="364">
        <f>IF(A5="","",IF(ISERROR(INDEX(Results!AI:AI,MATCH(A5,Results!$V:$V,0))),"TBC",INDEX(Results!AI:AI,MATCH(A5,Results!$V:$V,0))))</f>
        <v>27.42</v>
      </c>
      <c r="E5" s="357">
        <f>IF(A5="","",INDEX(Table!K:K,MATCH(A5,Table!$F:$F,0)))</f>
        <v>2.2666666666666675</v>
      </c>
      <c r="F5" s="358">
        <f>IF(A5="","",INDEX(Table!L:L,MATCH(A5,Table!$F:$F,0)))</f>
        <v>2</v>
      </c>
      <c r="G5" s="358">
        <f>IF(A5="","",INDEX(Picks!AG:AG,MATCH(A5,Picks!$AD:$AD,0)))</f>
        <v>13</v>
      </c>
      <c r="I5" s="356" t="s">
        <v>272</v>
      </c>
      <c r="J5" s="364" t="str">
        <f>IF(I5="","",IF(ISERROR(INDEX(Results!AI:AI,MATCH(I5,Results!$V:$V,0))),"TBC",INDEX(Results!AI:AI,MATCH(I5,Results!$V:$V,0))))</f>
        <v>TBC</v>
      </c>
      <c r="K5" s="364" t="str">
        <f>IF(I5="","",IF(ISERROR(INDEX(Results!T:T,MATCH(I5,Results!$V:$V,0))),"TBC",INDEX(Results!T:T,MATCH(I5,Results!$V:$V,0))))</f>
        <v>TBC</v>
      </c>
      <c r="L5" s="357" t="e">
        <f>IF(I5="","",INDEX(Table!I:I,MATCH(I5,Table!$F:$F,0)))</f>
        <v>#N/A</v>
      </c>
    </row>
    <row r="6" spans="1:12" ht="18" customHeight="1">
      <c r="A6" s="356" t="s">
        <v>280</v>
      </c>
      <c r="B6" s="357" t="e">
        <f>IF(A6="","",INDEX(Table!I:I,MATCH(A6,Table!$F:$F,0)))</f>
        <v>#N/A</v>
      </c>
      <c r="C6" s="358" t="e">
        <f>IF(A6="","",INDEX(Table!J:J,MATCH(A6,Table!$F:$F,0)))</f>
        <v>#N/A</v>
      </c>
      <c r="D6" s="364" t="str">
        <f>IF(A6="","",IF(ISERROR(INDEX(Results!AI:AI,MATCH(A6,Results!$V:$V,0))),"TBC",INDEX(Results!AI:AI,MATCH(A6,Results!$V:$V,0))))</f>
        <v>TBC</v>
      </c>
      <c r="E6" s="357" t="e">
        <f>IF(A6="","",INDEX(Table!K:K,MATCH(A6,Table!$F:$F,0)))</f>
        <v>#N/A</v>
      </c>
      <c r="F6" s="358" t="e">
        <f>IF(A6="","",INDEX(Table!L:L,MATCH(A6,Table!$F:$F,0)))</f>
        <v>#N/A</v>
      </c>
      <c r="G6" s="358" t="e">
        <f>IF(A6="","",INDEX(Picks!AG:AG,MATCH(A6,Picks!$AD:$AD,0)))</f>
        <v>#N/A</v>
      </c>
      <c r="I6" s="356" t="s">
        <v>281</v>
      </c>
      <c r="J6" s="364" t="str">
        <f>IF(I6="","",IF(ISERROR(INDEX(Results!AI:AI,MATCH(I6,Results!$V:$V,0))),"TBC",INDEX(Results!AI:AI,MATCH(I6,Results!$V:$V,0))))</f>
        <v>TBC</v>
      </c>
      <c r="K6" s="364" t="str">
        <f>IF(I6="","",IF(ISERROR(INDEX(Results!T:T,MATCH(I6,Results!$V:$V,0))),"TBC",INDEX(Results!T:T,MATCH(I6,Results!$V:$V,0))))</f>
        <v>TBC</v>
      </c>
      <c r="L6" s="357" t="e">
        <f>IF(I6="","",INDEX(Table!I:I,MATCH(I6,Table!$F:$F,0)))</f>
        <v>#N/A</v>
      </c>
    </row>
    <row r="7" spans="1:12" ht="18" customHeight="1">
      <c r="A7" s="205"/>
      <c r="B7" s="188"/>
      <c r="C7" s="274" t="str">
        <f>IF(A7="","",INDEX(Table!J:J,MATCH(A7,Table!$F:$F,0)))</f>
        <v/>
      </c>
      <c r="D7" s="274"/>
    </row>
    <row r="8" spans="1:12" ht="18" customHeight="1">
      <c r="A8" s="205"/>
      <c r="B8" s="188"/>
      <c r="C8" s="274" t="str">
        <f>IF(A8="","",INDEX(Table!J:J,MATCH(A8,Table!$F:$F,0)))</f>
        <v/>
      </c>
      <c r="D8" s="274"/>
    </row>
    <row r="9" spans="1:12" ht="18" customHeight="1">
      <c r="A9" s="205"/>
      <c r="B9" s="188"/>
      <c r="C9" s="274" t="str">
        <f>IF(A9="","",INDEX(Table!J:J,MATCH(A9,Table!$F:$F,0)))</f>
        <v/>
      </c>
      <c r="D9" s="274"/>
    </row>
    <row r="10" spans="1:12" ht="18" customHeight="1">
      <c r="A10" s="205"/>
      <c r="B10" s="188"/>
      <c r="C10" s="274" t="str">
        <f>IF(A10="","",INDEX(Table!J:J,MATCH(A10,Table!$F:$F,0)))</f>
        <v/>
      </c>
      <c r="D10" s="274"/>
    </row>
    <row r="11" spans="1:12" ht="18" customHeight="1">
      <c r="A11" s="205"/>
      <c r="B11" s="188"/>
      <c r="C11" s="274" t="str">
        <f>IF(A11="","",INDEX(Table!J:J,MATCH(A11,Table!$F:$F,0)))</f>
        <v/>
      </c>
      <c r="D11" s="274"/>
    </row>
    <row r="12" spans="1:12" ht="18" customHeight="1">
      <c r="A12" s="205"/>
      <c r="B12" s="188"/>
      <c r="C12" s="274" t="str">
        <f>IF(A12="","",INDEX(Table!J:J,MATCH(A12,Table!$F:$F,0)))</f>
        <v/>
      </c>
      <c r="D12" s="274"/>
    </row>
    <row r="13" spans="1:12" ht="18" customHeight="1">
      <c r="A13" s="205"/>
      <c r="B13" s="188"/>
      <c r="C13" s="274" t="str">
        <f>IF(A13="","",INDEX(Table!J:J,MATCH(A13,Table!$F:$F,0)))</f>
        <v/>
      </c>
      <c r="D13" s="274"/>
    </row>
    <row r="14" spans="1:12" ht="18" customHeight="1">
      <c r="A14" s="205"/>
      <c r="B14" s="188"/>
      <c r="C14" s="274" t="str">
        <f>IF(A14="","",INDEX(Table!J:J,MATCH(A14,Table!$F:$F,0)))</f>
        <v/>
      </c>
      <c r="D14" s="274"/>
    </row>
    <row r="15" spans="1:12" ht="18" customHeight="1">
      <c r="A15" s="205"/>
      <c r="B15" s="188"/>
      <c r="C15" s="274" t="str">
        <f>IF(A15="","",INDEX(Table!J:J,MATCH(A15,Table!$F:$F,0)))</f>
        <v/>
      </c>
      <c r="D15" s="274"/>
    </row>
    <row r="16" spans="1:12" ht="18" customHeight="1">
      <c r="A16" s="205"/>
      <c r="B16" s="188"/>
      <c r="C16" s="274" t="str">
        <f>IF(A16="","",INDEX(Table!J:J,MATCH(A16,Table!$F:$F,0)))</f>
        <v/>
      </c>
      <c r="D16" s="274"/>
    </row>
    <row r="17" spans="1:4" ht="18" customHeight="1">
      <c r="A17" s="205"/>
      <c r="B17" s="188"/>
      <c r="C17" s="274" t="str">
        <f>IF(A17="","",INDEX(Table!J:J,MATCH(A17,Table!$F:$F,0)))</f>
        <v/>
      </c>
      <c r="D17" s="274"/>
    </row>
    <row r="18" spans="1:4" ht="18" customHeight="1">
      <c r="A18" s="205"/>
      <c r="B18" s="188"/>
      <c r="C18" s="274" t="str">
        <f>IF(A18="","",INDEX(Table!J:J,MATCH(A18,Table!$F:$F,0)))</f>
        <v/>
      </c>
      <c r="D18" s="274"/>
    </row>
    <row r="19" spans="1:4" ht="18" customHeight="1">
      <c r="A19" s="205"/>
      <c r="B19" s="188"/>
      <c r="C19" s="274" t="str">
        <f>IF(A19="","",INDEX(Table!J:J,MATCH(A19,Table!$F:$F,0)))</f>
        <v/>
      </c>
      <c r="D19" s="274"/>
    </row>
    <row r="20" spans="1:4" ht="18" customHeight="1">
      <c r="A20" s="205"/>
      <c r="B20" s="188"/>
      <c r="C20" s="274" t="str">
        <f>IF(A20="","",INDEX(Table!J:J,MATCH(A20,Table!$F:$F,0)))</f>
        <v/>
      </c>
      <c r="D20" s="274"/>
    </row>
    <row r="21" spans="1:4" ht="18" customHeight="1">
      <c r="A21" s="205"/>
      <c r="B21" s="188"/>
      <c r="C21" s="274" t="str">
        <f>IF(A21="","",INDEX(Table!J:J,MATCH(A21,Table!$F:$F,0)))</f>
        <v/>
      </c>
      <c r="D21" s="274"/>
    </row>
    <row r="22" spans="1:4" ht="18" customHeight="1">
      <c r="A22" s="205"/>
      <c r="B22" s="188"/>
      <c r="C22" s="274" t="str">
        <f>IF(A22="","",INDEX(Table!J:J,MATCH(A22,Table!$F:$F,0)))</f>
        <v/>
      </c>
      <c r="D22" s="274"/>
    </row>
    <row r="23" spans="1:4" ht="18" customHeight="1">
      <c r="A23" s="205"/>
      <c r="B23" s="188"/>
      <c r="C23" s="274" t="str">
        <f>IF(A23="","",INDEX(Table!J:J,MATCH(A23,Table!$F:$F,0)))</f>
        <v/>
      </c>
      <c r="D23" s="274"/>
    </row>
    <row r="24" spans="1:4" ht="18" customHeight="1">
      <c r="A24" s="205"/>
      <c r="B24" s="188"/>
      <c r="C24" s="274" t="str">
        <f>IF(A24="","",INDEX(Table!J:J,MATCH(A24,Table!$F:$F,0)))</f>
        <v/>
      </c>
      <c r="D24" s="274"/>
    </row>
    <row r="25" spans="1:4" ht="18" customHeight="1">
      <c r="A25" s="205"/>
      <c r="B25" s="188"/>
      <c r="C25" s="274" t="str">
        <f>IF(A25="","",INDEX(Table!J:J,MATCH(A25,Table!$F:$F,0)))</f>
        <v/>
      </c>
      <c r="D25" s="274"/>
    </row>
    <row r="26" spans="1:4" ht="18" customHeight="1">
      <c r="A26" s="205"/>
      <c r="B26" s="188"/>
      <c r="C26" s="274" t="str">
        <f>IF(A26="","",INDEX(Table!J:J,MATCH(A26,Table!$F:$F,0)))</f>
        <v/>
      </c>
      <c r="D26" s="274"/>
    </row>
    <row r="27" spans="1:4" ht="18" customHeight="1">
      <c r="A27" s="205"/>
      <c r="B27" s="188"/>
      <c r="C27" s="274" t="str">
        <f>IF(A27="","",INDEX(Table!J:J,MATCH(A27,Table!$F:$F,0)))</f>
        <v/>
      </c>
      <c r="D27" s="274"/>
    </row>
    <row r="28" spans="1:4" ht="18" customHeight="1">
      <c r="A28" s="205"/>
      <c r="B28" s="188"/>
      <c r="C28" s="274" t="str">
        <f>IF(A28="","",INDEX(Table!J:J,MATCH(A28,Table!$F:$F,0)))</f>
        <v/>
      </c>
      <c r="D28" s="274"/>
    </row>
    <row r="29" spans="1:4" ht="18" customHeight="1">
      <c r="A29" s="205"/>
      <c r="B29" s="188"/>
      <c r="C29" s="274" t="str">
        <f>IF(A29="","",INDEX(Table!J:J,MATCH(A29,Table!$F:$F,0)))</f>
        <v/>
      </c>
      <c r="D29" s="274"/>
    </row>
    <row r="30" spans="1:4" ht="18" customHeight="1">
      <c r="A30" s="205"/>
      <c r="B30" s="188"/>
      <c r="C30" s="274" t="str">
        <f>IF(A30="","",INDEX(Table!J:J,MATCH(A30,Table!$F:$F,0)))</f>
        <v/>
      </c>
      <c r="D30" s="27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1" sqref="B1"/>
    </sheetView>
  </sheetViews>
  <sheetFormatPr defaultRowHeight="12.75"/>
  <cols>
    <col min="1" max="1" width="45" customWidth="1"/>
    <col min="2" max="2" width="9.86328125" bestFit="1" customWidth="1"/>
  </cols>
  <sheetData>
    <row r="1" spans="1:2" ht="17.649999999999999">
      <c r="A1" s="164" t="s">
        <v>180</v>
      </c>
      <c r="B1" s="161">
        <v>46</v>
      </c>
    </row>
    <row r="2" spans="1:2" ht="17.25">
      <c r="A2" s="92" t="s">
        <v>145</v>
      </c>
      <c r="B2" s="163">
        <v>20</v>
      </c>
    </row>
    <row r="3" spans="1:2" ht="17.649999999999999">
      <c r="A3" s="164" t="s">
        <v>181</v>
      </c>
      <c r="B3" s="162">
        <f>B1*B2</f>
        <v>920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474</v>
      </c>
      <c r="B12" s="95">
        <v>10</v>
      </c>
    </row>
    <row r="13" spans="1:2" ht="13.15">
      <c r="A13" s="100" t="s">
        <v>152</v>
      </c>
      <c r="B13" s="102">
        <f>SUM(B10:B12)</f>
        <v>50</v>
      </c>
    </row>
    <row r="14" spans="1:2">
      <c r="A14" s="92"/>
      <c r="B14" s="93"/>
    </row>
    <row r="15" spans="1:2">
      <c r="A15" s="99" t="s">
        <v>475</v>
      </c>
      <c r="B15" s="343">
        <f>Prizes!I2</f>
        <v>185</v>
      </c>
    </row>
    <row r="16" spans="1:2">
      <c r="A16" s="99" t="s">
        <v>477</v>
      </c>
      <c r="B16" s="343">
        <f>Prizes!I3</f>
        <v>129.5</v>
      </c>
    </row>
    <row r="17" spans="1:2">
      <c r="A17" s="99" t="s">
        <v>478</v>
      </c>
      <c r="B17" s="343">
        <f>Prizes!I4</f>
        <v>55.5</v>
      </c>
    </row>
    <row r="18" spans="1:2">
      <c r="A18" s="99" t="s">
        <v>479</v>
      </c>
      <c r="B18" s="343">
        <f>Prizes!I5</f>
        <v>0</v>
      </c>
    </row>
    <row r="19" spans="1:2">
      <c r="A19" s="99"/>
      <c r="B19" s="94"/>
    </row>
    <row r="20" spans="1:2" ht="13.15">
      <c r="A20" s="100" t="s">
        <v>476</v>
      </c>
      <c r="B20" s="101">
        <f>SUM(B15:B19)</f>
        <v>370</v>
      </c>
    </row>
    <row r="21" spans="1:2" ht="13.15">
      <c r="A21" s="100"/>
      <c r="B21" s="101"/>
    </row>
    <row r="22" spans="1:2" ht="13.15">
      <c r="A22" s="100" t="s">
        <v>528</v>
      </c>
      <c r="B22" s="614"/>
    </row>
    <row r="23" spans="1:2">
      <c r="A23" s="176" t="s">
        <v>220</v>
      </c>
      <c r="B23" s="177">
        <f>nonentrants*20</f>
        <v>0</v>
      </c>
    </row>
    <row r="24" spans="1:2" ht="13.15">
      <c r="A24" s="100"/>
      <c r="B24" s="101"/>
    </row>
    <row r="25" spans="1:2" ht="13.15">
      <c r="A25" s="100" t="s">
        <v>480</v>
      </c>
      <c r="B25" s="101">
        <f>B20-B23</f>
        <v>370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49" t="s">
        <v>333</v>
      </c>
      <c r="B1" s="4" t="s">
        <v>221</v>
      </c>
      <c r="C1" s="4" t="s">
        <v>244</v>
      </c>
      <c r="D1" s="45" t="s">
        <v>245</v>
      </c>
      <c r="E1" s="45" t="s">
        <v>246</v>
      </c>
      <c r="F1" s="45" t="s">
        <v>247</v>
      </c>
      <c r="G1" s="45"/>
      <c r="H1" s="338" t="s">
        <v>140</v>
      </c>
      <c r="I1" s="339">
        <f>M2-550</f>
        <v>370</v>
      </c>
      <c r="K1" t="s">
        <v>221</v>
      </c>
      <c r="L1" t="s">
        <v>248</v>
      </c>
      <c r="M1" s="337" t="s">
        <v>267</v>
      </c>
    </row>
    <row r="2" spans="1:13">
      <c r="A2" t="str">
        <f>CONCATENATE(B2,C2)</f>
        <v>A1</v>
      </c>
      <c r="B2" s="8" t="s">
        <v>223</v>
      </c>
      <c r="C2" s="4">
        <v>1</v>
      </c>
      <c r="D2">
        <v>45</v>
      </c>
      <c r="E2">
        <v>35</v>
      </c>
      <c r="F2" s="221">
        <f t="shared" ref="F2:F7" si="0">PotA*E2/100</f>
        <v>64.75</v>
      </c>
      <c r="H2" s="103" t="s">
        <v>249</v>
      </c>
      <c r="I2" s="340">
        <f>pot*0.5</f>
        <v>185</v>
      </c>
      <c r="K2" s="14" t="s">
        <v>223</v>
      </c>
      <c r="L2">
        <v>50</v>
      </c>
      <c r="M2" s="340">
        <f>(entrants-nonentrants)*20</f>
        <v>920</v>
      </c>
    </row>
    <row r="3" spans="1:13">
      <c r="A3" t="str">
        <f t="shared" ref="A3:A63" si="1">CONCATENATE(B3,C3)</f>
        <v>A2</v>
      </c>
      <c r="B3" s="8" t="s">
        <v>223</v>
      </c>
      <c r="C3" s="4">
        <v>2</v>
      </c>
      <c r="E3">
        <v>25</v>
      </c>
      <c r="F3" s="221">
        <f t="shared" si="0"/>
        <v>46.25</v>
      </c>
      <c r="H3" s="103" t="s">
        <v>250</v>
      </c>
      <c r="I3" s="340">
        <f>pot*0.35</f>
        <v>129.5</v>
      </c>
      <c r="K3" s="14" t="s">
        <v>224</v>
      </c>
      <c r="L3">
        <v>35</v>
      </c>
    </row>
    <row r="4" spans="1:13">
      <c r="A4" t="str">
        <f t="shared" si="1"/>
        <v>A3</v>
      </c>
      <c r="B4" s="8" t="s">
        <v>223</v>
      </c>
      <c r="C4" s="4">
        <v>3</v>
      </c>
      <c r="E4">
        <v>18</v>
      </c>
      <c r="F4" s="221">
        <f t="shared" si="0"/>
        <v>33.299999999999997</v>
      </c>
      <c r="H4" s="103" t="s">
        <v>251</v>
      </c>
      <c r="I4" s="340">
        <f>pot*0.15</f>
        <v>55.5</v>
      </c>
      <c r="K4" s="14" t="s">
        <v>225</v>
      </c>
      <c r="L4">
        <v>15</v>
      </c>
    </row>
    <row r="5" spans="1:13">
      <c r="A5" t="str">
        <f t="shared" si="1"/>
        <v>A4</v>
      </c>
      <c r="B5" s="8" t="s">
        <v>223</v>
      </c>
      <c r="C5" s="4">
        <v>4</v>
      </c>
      <c r="E5">
        <v>12</v>
      </c>
      <c r="F5" s="221">
        <f t="shared" si="0"/>
        <v>22.2</v>
      </c>
      <c r="H5" s="103" t="s">
        <v>252</v>
      </c>
      <c r="I5" s="340">
        <f>pot*0</f>
        <v>0</v>
      </c>
      <c r="K5" s="14" t="s">
        <v>226</v>
      </c>
    </row>
    <row r="6" spans="1:13">
      <c r="A6" t="str">
        <f t="shared" si="1"/>
        <v>A5</v>
      </c>
      <c r="B6" s="8" t="s">
        <v>223</v>
      </c>
      <c r="C6" s="4">
        <v>5</v>
      </c>
      <c r="E6">
        <v>7</v>
      </c>
      <c r="F6" s="221">
        <f t="shared" si="0"/>
        <v>12.95</v>
      </c>
      <c r="L6">
        <f>SUM(L2:L5)</f>
        <v>100</v>
      </c>
    </row>
    <row r="7" spans="1:13">
      <c r="A7" t="str">
        <f t="shared" si="1"/>
        <v>A6</v>
      </c>
      <c r="B7" s="8" t="s">
        <v>223</v>
      </c>
      <c r="C7" s="4">
        <v>6</v>
      </c>
      <c r="E7">
        <v>3</v>
      </c>
      <c r="F7" s="221">
        <f t="shared" si="0"/>
        <v>5.55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1">
        <f t="shared" ref="F18:F23" si="2">PotB*E18/100</f>
        <v>45.325000000000003</v>
      </c>
    </row>
    <row r="19" spans="1:6">
      <c r="A19" t="str">
        <f t="shared" si="1"/>
        <v>B2</v>
      </c>
      <c r="B19" s="8" t="s">
        <v>224</v>
      </c>
      <c r="C19" s="4">
        <v>2</v>
      </c>
      <c r="E19">
        <v>25</v>
      </c>
      <c r="F19" s="221">
        <f t="shared" si="2"/>
        <v>32.375</v>
      </c>
    </row>
    <row r="20" spans="1:6">
      <c r="A20" t="str">
        <f t="shared" si="1"/>
        <v>B3</v>
      </c>
      <c r="B20" s="8" t="s">
        <v>224</v>
      </c>
      <c r="C20" s="4">
        <v>3</v>
      </c>
      <c r="E20">
        <v>18</v>
      </c>
      <c r="F20" s="221">
        <f t="shared" si="2"/>
        <v>23.31</v>
      </c>
    </row>
    <row r="21" spans="1:6">
      <c r="A21" t="str">
        <f t="shared" si="1"/>
        <v>B4</v>
      </c>
      <c r="B21" s="8" t="s">
        <v>224</v>
      </c>
      <c r="C21" s="4">
        <v>4</v>
      </c>
      <c r="E21">
        <v>12</v>
      </c>
      <c r="F21" s="221">
        <f t="shared" si="2"/>
        <v>15.54</v>
      </c>
    </row>
    <row r="22" spans="1:6">
      <c r="A22" t="str">
        <f t="shared" si="1"/>
        <v>B5</v>
      </c>
      <c r="B22" s="8" t="s">
        <v>224</v>
      </c>
      <c r="C22" s="4">
        <v>5</v>
      </c>
      <c r="E22">
        <v>7</v>
      </c>
      <c r="F22" s="221">
        <f t="shared" si="2"/>
        <v>9.0649999999999995</v>
      </c>
    </row>
    <row r="23" spans="1:6">
      <c r="A23" t="str">
        <f t="shared" si="1"/>
        <v>B6</v>
      </c>
      <c r="B23" s="8" t="s">
        <v>224</v>
      </c>
      <c r="C23" s="4">
        <v>6</v>
      </c>
      <c r="E23">
        <v>3</v>
      </c>
      <c r="F23" s="221">
        <f t="shared" si="2"/>
        <v>3.8849999999999998</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1">
        <f t="shared" ref="F34:F39" si="3">PotC*E34/100</f>
        <v>19.425000000000001</v>
      </c>
    </row>
    <row r="35" spans="1:6">
      <c r="A35" t="str">
        <f t="shared" si="1"/>
        <v>C2</v>
      </c>
      <c r="B35" s="8" t="s">
        <v>225</v>
      </c>
      <c r="C35" s="4">
        <v>2</v>
      </c>
      <c r="E35">
        <v>25</v>
      </c>
      <c r="F35" s="221">
        <f t="shared" si="3"/>
        <v>13.875</v>
      </c>
    </row>
    <row r="36" spans="1:6">
      <c r="A36" t="str">
        <f t="shared" si="1"/>
        <v>C3</v>
      </c>
      <c r="B36" s="8" t="s">
        <v>225</v>
      </c>
      <c r="C36" s="4">
        <v>3</v>
      </c>
      <c r="E36">
        <v>18</v>
      </c>
      <c r="F36" s="221">
        <f t="shared" si="3"/>
        <v>9.99</v>
      </c>
    </row>
    <row r="37" spans="1:6">
      <c r="A37" t="str">
        <f t="shared" si="1"/>
        <v>C4</v>
      </c>
      <c r="B37" s="8" t="s">
        <v>225</v>
      </c>
      <c r="C37" s="4">
        <v>4</v>
      </c>
      <c r="E37">
        <v>12</v>
      </c>
      <c r="F37" s="221">
        <f t="shared" si="3"/>
        <v>6.66</v>
      </c>
    </row>
    <row r="38" spans="1:6">
      <c r="A38" t="str">
        <f t="shared" si="1"/>
        <v>C5</v>
      </c>
      <c r="B38" s="8" t="s">
        <v>225</v>
      </c>
      <c r="C38" s="4">
        <v>5</v>
      </c>
      <c r="E38">
        <v>7</v>
      </c>
      <c r="F38" s="221">
        <f t="shared" si="3"/>
        <v>3.8849999999999998</v>
      </c>
    </row>
    <row r="39" spans="1:6">
      <c r="A39" t="str">
        <f t="shared" si="1"/>
        <v>C6</v>
      </c>
      <c r="B39" s="8" t="s">
        <v>225</v>
      </c>
      <c r="C39" s="4">
        <v>6</v>
      </c>
      <c r="E39">
        <v>3</v>
      </c>
      <c r="F39" s="221">
        <f t="shared" si="3"/>
        <v>1.665</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1">
        <f t="shared" ref="F50:F55" si="4">PotD*E50/100</f>
        <v>0</v>
      </c>
    </row>
    <row r="51" spans="1:6">
      <c r="A51" t="str">
        <f t="shared" si="1"/>
        <v>D2</v>
      </c>
      <c r="B51" s="8" t="s">
        <v>226</v>
      </c>
      <c r="C51" s="4">
        <v>2</v>
      </c>
      <c r="E51">
        <v>25</v>
      </c>
      <c r="F51" s="221">
        <f t="shared" si="4"/>
        <v>0</v>
      </c>
    </row>
    <row r="52" spans="1:6">
      <c r="A52" t="str">
        <f t="shared" si="1"/>
        <v>D3</v>
      </c>
      <c r="B52" s="8" t="s">
        <v>226</v>
      </c>
      <c r="C52" s="4">
        <v>3</v>
      </c>
      <c r="E52">
        <v>18</v>
      </c>
      <c r="F52" s="221">
        <f t="shared" si="4"/>
        <v>0</v>
      </c>
    </row>
    <row r="53" spans="1:6">
      <c r="A53" t="str">
        <f t="shared" si="1"/>
        <v>D4</v>
      </c>
      <c r="B53" s="8" t="s">
        <v>226</v>
      </c>
      <c r="C53" s="4">
        <v>4</v>
      </c>
      <c r="E53">
        <v>12</v>
      </c>
      <c r="F53" s="221">
        <f t="shared" si="4"/>
        <v>0</v>
      </c>
    </row>
    <row r="54" spans="1:6">
      <c r="A54" t="str">
        <f t="shared" si="1"/>
        <v>D5</v>
      </c>
      <c r="B54" s="8" t="s">
        <v>226</v>
      </c>
      <c r="C54" s="4">
        <v>5</v>
      </c>
      <c r="E54">
        <v>7</v>
      </c>
      <c r="F54" s="221">
        <f t="shared" si="4"/>
        <v>0</v>
      </c>
    </row>
    <row r="55" spans="1:6">
      <c r="A55" t="str">
        <f t="shared" si="1"/>
        <v>D6</v>
      </c>
      <c r="B55" s="8" t="s">
        <v>226</v>
      </c>
      <c r="C55" s="4">
        <v>6</v>
      </c>
      <c r="E55">
        <v>3</v>
      </c>
      <c r="F55" s="221">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504</v>
      </c>
      <c r="B102" s="8" t="s">
        <v>225</v>
      </c>
      <c r="C102" s="4">
        <v>17</v>
      </c>
      <c r="F102">
        <v>0</v>
      </c>
    </row>
    <row r="103" spans="1:6">
      <c r="A103" s="8" t="s">
        <v>506</v>
      </c>
      <c r="B103" s="8" t="s">
        <v>225</v>
      </c>
      <c r="C103" s="4">
        <v>18</v>
      </c>
      <c r="F103">
        <v>0</v>
      </c>
    </row>
    <row r="104" spans="1:6">
      <c r="A104" s="8" t="s">
        <v>507</v>
      </c>
      <c r="B104" s="8" t="s">
        <v>225</v>
      </c>
      <c r="C104" s="4">
        <v>19</v>
      </c>
      <c r="F104">
        <v>0</v>
      </c>
    </row>
    <row r="105" spans="1:6">
      <c r="A105" s="8" t="s">
        <v>505</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65" t="s">
        <v>345</v>
      </c>
    </row>
    <row r="3" spans="1:23" ht="17.649999999999999" thickBot="1">
      <c r="A3" s="76"/>
      <c r="B3" s="366" t="s">
        <v>272</v>
      </c>
      <c r="C3" s="139"/>
      <c r="D3" s="139"/>
      <c r="E3" s="139"/>
      <c r="F3" s="139"/>
      <c r="G3" s="139"/>
      <c r="H3" s="139"/>
      <c r="I3" s="139"/>
      <c r="J3" s="139"/>
      <c r="K3" s="139"/>
      <c r="L3" s="367" t="s">
        <v>346</v>
      </c>
      <c r="M3" s="383" t="e">
        <f>INDEX(Table!I:I,MATCH(B3,Table!F:F,0))</f>
        <v>#N/A</v>
      </c>
      <c r="N3" s="368"/>
      <c r="O3" s="384" t="e">
        <f>M3-7</f>
        <v>#N/A</v>
      </c>
    </row>
    <row r="4" spans="1:23" ht="13.15">
      <c r="A4" s="76"/>
      <c r="B4" s="76"/>
      <c r="C4" s="152" t="s">
        <v>25</v>
      </c>
      <c r="D4" s="382" t="s">
        <v>347</v>
      </c>
      <c r="E4" s="152" t="s">
        <v>175</v>
      </c>
      <c r="F4" s="152" t="s">
        <v>175</v>
      </c>
      <c r="G4" s="152" t="s">
        <v>25</v>
      </c>
      <c r="H4" s="80"/>
      <c r="I4" s="80"/>
      <c r="J4" s="80"/>
      <c r="K4" s="80"/>
      <c r="L4" s="369" t="s">
        <v>168</v>
      </c>
      <c r="M4" s="369" t="s">
        <v>169</v>
      </c>
      <c r="N4" s="370"/>
      <c r="O4" s="371">
        <f>IF(K4=0,0,1)+K4</f>
        <v>0</v>
      </c>
      <c r="V4" t="s">
        <v>280</v>
      </c>
      <c r="W4" t="s">
        <v>399</v>
      </c>
    </row>
    <row r="5" spans="1:23">
      <c r="A5" s="76"/>
      <c r="B5" s="76"/>
      <c r="C5" s="153" t="s">
        <v>176</v>
      </c>
      <c r="D5" s="372" t="s">
        <v>155</v>
      </c>
      <c r="E5" s="154" t="s">
        <v>27</v>
      </c>
      <c r="F5" s="154" t="s">
        <v>27</v>
      </c>
      <c r="G5" s="154" t="s">
        <v>13</v>
      </c>
      <c r="H5" s="80"/>
      <c r="I5" s="149">
        <f>F6</f>
        <v>1.1499999999999999</v>
      </c>
      <c r="J5" s="149">
        <f>F7</f>
        <v>4</v>
      </c>
      <c r="K5" s="149">
        <f>F8</f>
        <v>3</v>
      </c>
      <c r="L5" s="371">
        <f>IF(I5=0,0,1)+I5</f>
        <v>2.15</v>
      </c>
      <c r="M5" s="371">
        <f>IF(J5=0,0,1)+J5</f>
        <v>5</v>
      </c>
      <c r="N5" s="371"/>
      <c r="O5" s="371">
        <f>IF(K5=0,0,1)+K5</f>
        <v>4</v>
      </c>
      <c r="P5" s="371">
        <f>IF(J5=0,0,(L5*J5)+L5)</f>
        <v>10.75</v>
      </c>
      <c r="Q5" s="371">
        <f>IF(K5=0,0,(M5*K5)+M5)</f>
        <v>20</v>
      </c>
      <c r="R5" s="371">
        <f>IF(I5=0,0,(O5*I5)+O5)</f>
        <v>8.6</v>
      </c>
      <c r="S5" s="371">
        <f>IF(K5=0,0,(P5*K5)+P5)</f>
        <v>43</v>
      </c>
      <c r="V5" t="s">
        <v>280</v>
      </c>
      <c r="W5" t="s">
        <v>398</v>
      </c>
    </row>
    <row r="6" spans="1:23" ht="16.149999999999999" thickBot="1">
      <c r="A6" s="76"/>
      <c r="B6" s="89" t="s">
        <v>412</v>
      </c>
      <c r="C6" s="155" t="s">
        <v>178</v>
      </c>
      <c r="D6" s="373">
        <f>INDEX(Picks!C:C,MATCH(B6,Picks!B:B,0))</f>
        <v>7</v>
      </c>
      <c r="E6" s="373">
        <f>INDEX(Picks!D:D,MATCH(B6,Picks!B:B,0))</f>
        <v>2.15</v>
      </c>
      <c r="F6" s="373">
        <f>+((E6-1)*G6)</f>
        <v>1.1499999999999999</v>
      </c>
      <c r="G6" s="148">
        <v>1</v>
      </c>
      <c r="H6" s="80"/>
      <c r="I6" s="80"/>
      <c r="J6" s="80"/>
      <c r="K6" s="80"/>
      <c r="L6" s="369"/>
      <c r="M6" s="369"/>
      <c r="N6" s="369"/>
      <c r="O6" s="369"/>
      <c r="P6" s="369"/>
      <c r="Q6" s="369"/>
      <c r="R6" s="369"/>
      <c r="S6" s="369"/>
      <c r="V6" t="s">
        <v>280</v>
      </c>
      <c r="W6" t="s">
        <v>339</v>
      </c>
    </row>
    <row r="7" spans="1:23" ht="15.75">
      <c r="A7" s="76"/>
      <c r="B7" s="89" t="s">
        <v>167</v>
      </c>
      <c r="C7" s="155" t="s">
        <v>178</v>
      </c>
      <c r="D7" s="373">
        <f>INDEX(Picks!C:C,MATCH(B7,Picks!B:B,0))</f>
        <v>7</v>
      </c>
      <c r="E7" s="373">
        <f>INDEX(Picks!D:D,MATCH(B7,Picks!B:B,0))</f>
        <v>5</v>
      </c>
      <c r="F7" s="373">
        <f>+((E7-1)*G7)</f>
        <v>4</v>
      </c>
      <c r="G7" s="148">
        <v>1</v>
      </c>
      <c r="H7" s="80"/>
      <c r="I7" s="80"/>
      <c r="J7" s="80"/>
      <c r="K7" s="80"/>
      <c r="L7" s="5" t="s">
        <v>13</v>
      </c>
      <c r="M7" s="5" t="s">
        <v>28</v>
      </c>
      <c r="N7" s="374"/>
      <c r="O7" s="375" t="s">
        <v>18</v>
      </c>
      <c r="P7" s="378"/>
      <c r="Q7" s="369"/>
      <c r="R7" s="369"/>
      <c r="S7" s="369"/>
      <c r="V7" t="s">
        <v>292</v>
      </c>
      <c r="W7" t="s">
        <v>339</v>
      </c>
    </row>
    <row r="8" spans="1:23" ht="16.149999999999999" thickBot="1">
      <c r="A8" s="76"/>
      <c r="B8" s="89" t="s">
        <v>408</v>
      </c>
      <c r="C8" s="155" t="s">
        <v>178</v>
      </c>
      <c r="D8" s="373">
        <f>INDEX(Picks!C:C,MATCH(B8,Picks!B:B,0))</f>
        <v>6</v>
      </c>
      <c r="E8" s="373">
        <f>INDEX(Picks!D:D,MATCH(B8,Picks!B:B,0))</f>
        <v>4</v>
      </c>
      <c r="F8" s="373">
        <f>+((E8-1)*G8)</f>
        <v>3</v>
      </c>
      <c r="G8" s="148">
        <v>1</v>
      </c>
      <c r="H8" s="80"/>
      <c r="I8" s="80"/>
      <c r="J8" s="80"/>
      <c r="K8" s="80"/>
      <c r="L8" s="6">
        <f>SUM(G6:G8)</f>
        <v>3</v>
      </c>
      <c r="M8" s="7">
        <f>SUM(L5:S5)-7</f>
        <v>86.5</v>
      </c>
      <c r="N8" s="376"/>
      <c r="O8" s="377" t="e">
        <f>$M$3+M8</f>
        <v>#N/A</v>
      </c>
      <c r="P8" s="378"/>
      <c r="Q8" s="369"/>
      <c r="R8" s="369"/>
      <c r="S8" s="369"/>
      <c r="V8" t="s">
        <v>292</v>
      </c>
      <c r="W8" t="s">
        <v>167</v>
      </c>
    </row>
    <row r="9" spans="1:23">
      <c r="A9" s="76"/>
      <c r="B9" s="76"/>
      <c r="C9" s="76"/>
      <c r="D9" s="80"/>
      <c r="E9" s="80"/>
      <c r="F9" s="80"/>
      <c r="G9" s="80"/>
      <c r="H9" s="80"/>
      <c r="I9" s="76"/>
      <c r="J9" s="76"/>
      <c r="K9" s="80"/>
      <c r="L9" s="80"/>
      <c r="M9" s="80"/>
      <c r="N9" s="80"/>
      <c r="O9" s="369"/>
      <c r="P9" s="369"/>
      <c r="Q9" s="369"/>
      <c r="R9" s="369"/>
      <c r="S9" s="369"/>
      <c r="V9" t="s">
        <v>292</v>
      </c>
      <c r="W9" t="s">
        <v>413</v>
      </c>
    </row>
    <row r="10" spans="1:23">
      <c r="A10" s="76"/>
      <c r="B10" s="76"/>
      <c r="C10" s="76"/>
      <c r="D10" s="80"/>
      <c r="E10" s="80"/>
      <c r="F10" s="80"/>
      <c r="G10" s="80"/>
      <c r="H10" s="80"/>
      <c r="I10" s="76"/>
      <c r="J10" s="76"/>
      <c r="K10" s="80"/>
      <c r="L10" s="369"/>
      <c r="M10" s="369"/>
      <c r="N10" s="369"/>
      <c r="O10" s="369"/>
      <c r="P10" s="369"/>
      <c r="Q10" s="369"/>
      <c r="R10" s="369"/>
      <c r="S10" s="369"/>
      <c r="V10" t="s">
        <v>281</v>
      </c>
      <c r="W10" t="s">
        <v>411</v>
      </c>
    </row>
    <row r="11" spans="1:23">
      <c r="A11" s="76"/>
      <c r="B11" s="76"/>
      <c r="C11" s="152" t="s">
        <v>25</v>
      </c>
      <c r="D11" s="382" t="s">
        <v>347</v>
      </c>
      <c r="E11" s="152" t="s">
        <v>175</v>
      </c>
      <c r="F11" s="152" t="s">
        <v>175</v>
      </c>
      <c r="G11" s="152" t="s">
        <v>25</v>
      </c>
      <c r="H11" s="80"/>
      <c r="I11" s="80"/>
      <c r="J11" s="80"/>
      <c r="K11" s="80"/>
      <c r="L11" s="369" t="s">
        <v>168</v>
      </c>
      <c r="M11" s="369" t="s">
        <v>169</v>
      </c>
      <c r="N11" s="369"/>
      <c r="O11" s="369" t="s">
        <v>170</v>
      </c>
      <c r="P11" s="369" t="s">
        <v>171</v>
      </c>
      <c r="Q11" s="369" t="s">
        <v>172</v>
      </c>
      <c r="R11" s="369" t="s">
        <v>173</v>
      </c>
      <c r="S11" s="369" t="s">
        <v>174</v>
      </c>
      <c r="V11" t="s">
        <v>281</v>
      </c>
      <c r="W11" t="s">
        <v>410</v>
      </c>
    </row>
    <row r="12" spans="1:23">
      <c r="A12" s="76"/>
      <c r="B12" s="76"/>
      <c r="C12" s="153" t="s">
        <v>176</v>
      </c>
      <c r="D12" s="372" t="s">
        <v>155</v>
      </c>
      <c r="E12" s="154" t="s">
        <v>27</v>
      </c>
      <c r="F12" s="154" t="s">
        <v>27</v>
      </c>
      <c r="G12" s="154" t="s">
        <v>13</v>
      </c>
      <c r="H12" s="80"/>
      <c r="I12" s="149">
        <f>F13</f>
        <v>1.1499999999999999</v>
      </c>
      <c r="J12" s="149">
        <f>F14</f>
        <v>4</v>
      </c>
      <c r="K12" s="149">
        <f>F15</f>
        <v>0</v>
      </c>
      <c r="L12" s="371">
        <f>IF(I12=0,0,1)+I12</f>
        <v>2.15</v>
      </c>
      <c r="M12" s="371">
        <f>IF(J12=0,0,1)+J12</f>
        <v>5</v>
      </c>
      <c r="N12" s="371"/>
      <c r="O12" s="371">
        <f>IF(K12=0,0,1)+K12</f>
        <v>0</v>
      </c>
      <c r="P12" s="371">
        <f>IF(J12=0,0,(L12*J12)+L12)</f>
        <v>10.75</v>
      </c>
      <c r="Q12" s="371">
        <f>IF(K12=0,0,(M12*K12)+M12)</f>
        <v>0</v>
      </c>
      <c r="R12" s="371">
        <f>IF(I12=0,0,(O12*I12)+O12)</f>
        <v>0</v>
      </c>
      <c r="S12" s="371">
        <f>IF(K12=0,0,(P12*K12)+P12)</f>
        <v>0</v>
      </c>
      <c r="V12" t="s">
        <v>281</v>
      </c>
      <c r="W12" t="s">
        <v>339</v>
      </c>
    </row>
    <row r="13" spans="1:23" ht="16.149999999999999" thickBot="1">
      <c r="A13" s="76"/>
      <c r="B13" s="89" t="str">
        <f>game1</f>
        <v>Spurs</v>
      </c>
      <c r="C13" s="155" t="s">
        <v>178</v>
      </c>
      <c r="D13" s="373">
        <f>INDEX(Picks!C:C,MATCH(B13,Picks!B:B,0))</f>
        <v>7</v>
      </c>
      <c r="E13" s="373">
        <f>INDEX(Picks!D:D,MATCH(B13,Picks!B:B,0))</f>
        <v>2.15</v>
      </c>
      <c r="F13" s="373">
        <f>+((E13-1)*G13)</f>
        <v>1.1499999999999999</v>
      </c>
      <c r="G13" s="148">
        <v>1</v>
      </c>
      <c r="H13" s="80"/>
      <c r="I13" s="80"/>
      <c r="J13" s="80"/>
      <c r="K13" s="80"/>
      <c r="L13" s="80"/>
      <c r="M13" s="80"/>
      <c r="N13" s="80"/>
      <c r="O13" s="369"/>
      <c r="P13" s="369"/>
      <c r="Q13" s="369"/>
      <c r="R13" s="369"/>
      <c r="S13" s="369"/>
      <c r="V13" t="s">
        <v>295</v>
      </c>
      <c r="W13" t="s">
        <v>409</v>
      </c>
    </row>
    <row r="14" spans="1:23" ht="15.75">
      <c r="A14" s="76"/>
      <c r="B14" s="89" t="str">
        <f>game2</f>
        <v>Sunderland</v>
      </c>
      <c r="C14" s="155" t="s">
        <v>178</v>
      </c>
      <c r="D14" s="373">
        <f>INDEX(Picks!C:C,MATCH(B14,Picks!B:B,0))</f>
        <v>7</v>
      </c>
      <c r="E14" s="373">
        <f>INDEX(Picks!D:D,MATCH(B14,Picks!B:B,0))</f>
        <v>5</v>
      </c>
      <c r="F14" s="373">
        <f>+((E14-1)*G14)</f>
        <v>4</v>
      </c>
      <c r="G14" s="148">
        <v>1</v>
      </c>
      <c r="H14" s="80"/>
      <c r="I14" s="80"/>
      <c r="J14" s="80"/>
      <c r="K14" s="80"/>
      <c r="L14" s="5" t="s">
        <v>13</v>
      </c>
      <c r="M14" s="5" t="s">
        <v>28</v>
      </c>
      <c r="N14" s="374"/>
      <c r="O14" s="375" t="s">
        <v>18</v>
      </c>
      <c r="P14" s="378"/>
      <c r="Q14" s="369"/>
      <c r="R14" s="369"/>
      <c r="S14" s="369"/>
      <c r="V14" t="s">
        <v>295</v>
      </c>
      <c r="W14" t="s">
        <v>339</v>
      </c>
    </row>
    <row r="15" spans="1:23" ht="16.149999999999999" thickBot="1">
      <c r="A15" s="76"/>
      <c r="B15" s="89" t="str">
        <f>game3</f>
        <v>Sheff U</v>
      </c>
      <c r="C15" s="159" t="s">
        <v>177</v>
      </c>
      <c r="D15" s="373">
        <f>INDEX(Picks!C:C,MATCH(B15,Picks!B:B,0))</f>
        <v>6</v>
      </c>
      <c r="E15" s="373">
        <f>INDEX(Picks!D:D,MATCH(B15,Picks!B:B,0))</f>
        <v>4</v>
      </c>
      <c r="F15" s="373">
        <f>+((E15-1)*G15)</f>
        <v>0</v>
      </c>
      <c r="G15" s="148">
        <v>0</v>
      </c>
      <c r="H15" s="80"/>
      <c r="I15" s="80"/>
      <c r="J15" s="80"/>
      <c r="K15" s="80"/>
      <c r="L15" s="6">
        <f>SUM(G13:G15)</f>
        <v>2</v>
      </c>
      <c r="M15" s="7">
        <f>SUM(L12:S12)-7</f>
        <v>10.899999999999999</v>
      </c>
      <c r="N15" s="376"/>
      <c r="O15" s="377" t="e">
        <f>$M$3+M15</f>
        <v>#N/A</v>
      </c>
      <c r="P15" s="378"/>
      <c r="Q15" s="369"/>
      <c r="R15" s="369"/>
      <c r="S15" s="369"/>
      <c r="V15" t="s">
        <v>295</v>
      </c>
      <c r="W15" t="s">
        <v>408</v>
      </c>
    </row>
    <row r="16" spans="1:23">
      <c r="A16" s="76"/>
      <c r="B16" s="76"/>
      <c r="C16" s="76"/>
      <c r="D16" s="80"/>
      <c r="E16" s="80"/>
      <c r="F16" s="80"/>
      <c r="G16" s="80"/>
      <c r="H16" s="80"/>
      <c r="I16" s="76"/>
      <c r="J16" s="76"/>
      <c r="K16" s="80"/>
      <c r="L16" s="80"/>
      <c r="M16" s="80"/>
      <c r="N16" s="80"/>
      <c r="O16" s="369"/>
      <c r="P16" s="369"/>
      <c r="Q16" s="369"/>
      <c r="R16" s="369"/>
      <c r="S16" s="369"/>
      <c r="V16" t="s">
        <v>272</v>
      </c>
      <c r="W16" t="s">
        <v>412</v>
      </c>
    </row>
    <row r="17" spans="1:23">
      <c r="A17" s="76"/>
      <c r="B17" s="76"/>
      <c r="C17" s="76"/>
      <c r="D17" s="80" t="s">
        <v>179</v>
      </c>
      <c r="E17" s="80"/>
      <c r="F17" s="80"/>
      <c r="G17" s="80"/>
      <c r="H17" s="80"/>
      <c r="I17" s="76"/>
      <c r="J17" s="76"/>
      <c r="K17" s="80"/>
      <c r="L17" s="369"/>
      <c r="M17" s="369"/>
      <c r="N17" s="369"/>
      <c r="O17" s="369"/>
      <c r="P17" s="369"/>
      <c r="Q17" s="369"/>
      <c r="R17" s="369"/>
      <c r="S17" s="369"/>
      <c r="V17" t="s">
        <v>272</v>
      </c>
      <c r="W17" t="s">
        <v>167</v>
      </c>
    </row>
    <row r="18" spans="1:23">
      <c r="A18" s="76"/>
      <c r="B18" s="76"/>
      <c r="C18" s="152" t="s">
        <v>25</v>
      </c>
      <c r="D18" s="382" t="s">
        <v>347</v>
      </c>
      <c r="E18" s="152" t="s">
        <v>175</v>
      </c>
      <c r="F18" s="152" t="s">
        <v>175</v>
      </c>
      <c r="G18" s="152" t="s">
        <v>25</v>
      </c>
      <c r="H18" s="80"/>
      <c r="I18" s="80"/>
      <c r="J18" s="80"/>
      <c r="K18" s="80"/>
      <c r="L18" s="369" t="s">
        <v>168</v>
      </c>
      <c r="M18" s="369" t="s">
        <v>169</v>
      </c>
      <c r="N18" s="369"/>
      <c r="O18" s="369" t="s">
        <v>170</v>
      </c>
      <c r="P18" s="369" t="s">
        <v>171</v>
      </c>
      <c r="Q18" s="369" t="s">
        <v>172</v>
      </c>
      <c r="R18" s="369" t="s">
        <v>173</v>
      </c>
      <c r="S18" s="369" t="s">
        <v>174</v>
      </c>
      <c r="V18" t="s">
        <v>272</v>
      </c>
      <c r="W18" t="s">
        <v>408</v>
      </c>
    </row>
    <row r="19" spans="1:23">
      <c r="A19" s="76"/>
      <c r="B19" s="76"/>
      <c r="C19" s="153" t="s">
        <v>176</v>
      </c>
      <c r="D19" s="372" t="s">
        <v>155</v>
      </c>
      <c r="E19" s="154" t="s">
        <v>27</v>
      </c>
      <c r="F19" s="154" t="s">
        <v>27</v>
      </c>
      <c r="G19" s="154" t="s">
        <v>13</v>
      </c>
      <c r="H19" s="80"/>
      <c r="I19" s="149">
        <f>F20</f>
        <v>0</v>
      </c>
      <c r="J19" s="149">
        <f>F21</f>
        <v>4</v>
      </c>
      <c r="K19" s="149">
        <f>F22</f>
        <v>3</v>
      </c>
      <c r="L19" s="371">
        <f>IF(I19=0,0,1)+I19</f>
        <v>0</v>
      </c>
      <c r="M19" s="371">
        <f>IF(J19=0,0,1)+J19</f>
        <v>5</v>
      </c>
      <c r="N19" s="371"/>
      <c r="O19" s="371">
        <f>IF(K19=0,0,1)+K19</f>
        <v>4</v>
      </c>
      <c r="P19" s="371">
        <f>IF(J19=0,0,(L19*J19)+L19)</f>
        <v>0</v>
      </c>
      <c r="Q19" s="371">
        <f>IF(K19=0,0,(M19*K19)+M19)</f>
        <v>20</v>
      </c>
      <c r="R19" s="371">
        <f>IF(I19=0,0,(O19*I19)+O19)</f>
        <v>0</v>
      </c>
      <c r="S19" s="371">
        <f>IF(K19=0,0,(P19*K19)+P19)</f>
        <v>0</v>
      </c>
    </row>
    <row r="20" spans="1:23" ht="16.149999999999999" thickBot="1">
      <c r="A20" s="76"/>
      <c r="B20" s="89" t="str">
        <f>game1</f>
        <v>Spurs</v>
      </c>
      <c r="C20" s="159" t="s">
        <v>177</v>
      </c>
      <c r="D20" s="373">
        <f>INDEX(Picks!C:C,MATCH(B20,Picks!B:B,0))</f>
        <v>7</v>
      </c>
      <c r="E20" s="373">
        <f>INDEX(Picks!D:D,MATCH(B20,Picks!B:B,0))</f>
        <v>2.15</v>
      </c>
      <c r="F20" s="373">
        <f>+((E20-1)*G20)</f>
        <v>0</v>
      </c>
      <c r="G20" s="148">
        <v>0</v>
      </c>
      <c r="H20" s="80"/>
      <c r="I20" s="80"/>
      <c r="J20" s="80"/>
      <c r="K20" s="80"/>
      <c r="L20" s="80"/>
      <c r="M20" s="80"/>
      <c r="N20" s="80"/>
      <c r="O20" s="369"/>
      <c r="P20" s="369"/>
      <c r="Q20" s="369"/>
      <c r="R20" s="369"/>
      <c r="S20" s="369"/>
    </row>
    <row r="21" spans="1:23" ht="15.75">
      <c r="A21" s="76"/>
      <c r="B21" s="89" t="str">
        <f>game2</f>
        <v>Sunderland</v>
      </c>
      <c r="C21" s="155" t="s">
        <v>178</v>
      </c>
      <c r="D21" s="373">
        <f>INDEX(Picks!C:C,MATCH(B21,Picks!B:B,0))</f>
        <v>7</v>
      </c>
      <c r="E21" s="373">
        <f>INDEX(Picks!D:D,MATCH(B21,Picks!B:B,0))</f>
        <v>5</v>
      </c>
      <c r="F21" s="373">
        <f>+((E21-1)*G21)</f>
        <v>4</v>
      </c>
      <c r="G21" s="148">
        <v>1</v>
      </c>
      <c r="H21" s="80"/>
      <c r="I21" s="80"/>
      <c r="J21" s="80"/>
      <c r="K21" s="80"/>
      <c r="L21" s="5" t="s">
        <v>13</v>
      </c>
      <c r="M21" s="5" t="s">
        <v>28</v>
      </c>
      <c r="N21" s="374"/>
      <c r="O21" s="375" t="s">
        <v>18</v>
      </c>
      <c r="P21" s="378"/>
      <c r="Q21" s="369"/>
      <c r="R21" s="369"/>
      <c r="S21" s="369"/>
    </row>
    <row r="22" spans="1:23" ht="16.149999999999999" thickBot="1">
      <c r="A22" s="76"/>
      <c r="B22" s="89" t="str">
        <f>game3</f>
        <v>Sheff U</v>
      </c>
      <c r="C22" s="155" t="s">
        <v>178</v>
      </c>
      <c r="D22" s="373">
        <f>INDEX(Picks!C:C,MATCH(B22,Picks!B:B,0))</f>
        <v>6</v>
      </c>
      <c r="E22" s="373">
        <f>INDEX(Picks!D:D,MATCH(B22,Picks!B:B,0))</f>
        <v>4</v>
      </c>
      <c r="F22" s="373">
        <f>+((E22-1)*G22)</f>
        <v>3</v>
      </c>
      <c r="G22" s="148">
        <v>1</v>
      </c>
      <c r="H22" s="80"/>
      <c r="I22" s="80"/>
      <c r="J22" s="80"/>
      <c r="K22" s="80"/>
      <c r="L22" s="6">
        <f>SUM(G20:G22)</f>
        <v>2</v>
      </c>
      <c r="M22" s="7">
        <f>SUM(L19:S19)-7</f>
        <v>22</v>
      </c>
      <c r="N22" s="376"/>
      <c r="O22" s="377" t="e">
        <f>$M$3+M22</f>
        <v>#N/A</v>
      </c>
      <c r="P22" s="378"/>
      <c r="Q22" s="369"/>
      <c r="R22" s="369"/>
      <c r="S22" s="369"/>
    </row>
    <row r="23" spans="1:23" ht="13.15">
      <c r="A23" s="76"/>
      <c r="B23" s="76"/>
      <c r="C23" s="76"/>
      <c r="D23" s="80"/>
      <c r="E23" s="80"/>
      <c r="F23" s="80"/>
      <c r="G23" s="80"/>
      <c r="H23" s="80"/>
      <c r="I23" s="76"/>
      <c r="J23" s="76"/>
      <c r="K23" s="80"/>
      <c r="L23" s="157"/>
      <c r="M23" s="158"/>
      <c r="N23" s="158"/>
      <c r="O23" s="378"/>
      <c r="P23" s="378"/>
      <c r="Q23" s="369"/>
      <c r="R23" s="369"/>
      <c r="S23" s="369"/>
    </row>
    <row r="24" spans="1:23" ht="13.15">
      <c r="A24" s="76"/>
      <c r="B24" s="76"/>
      <c r="C24" s="76"/>
      <c r="D24" s="80"/>
      <c r="E24" s="80"/>
      <c r="F24" s="80"/>
      <c r="G24" s="80"/>
      <c r="H24" s="80"/>
      <c r="I24" s="76"/>
      <c r="J24" s="76"/>
      <c r="K24" s="80"/>
      <c r="L24" s="379"/>
      <c r="M24" s="380"/>
      <c r="N24" s="380"/>
      <c r="O24" s="378"/>
      <c r="P24" s="378"/>
      <c r="Q24" s="369"/>
      <c r="R24" s="369"/>
      <c r="S24" s="369"/>
    </row>
    <row r="25" spans="1:23">
      <c r="A25" s="76"/>
      <c r="B25" s="76"/>
      <c r="C25" s="152" t="s">
        <v>25</v>
      </c>
      <c r="D25" s="382" t="s">
        <v>347</v>
      </c>
      <c r="E25" s="152" t="s">
        <v>175</v>
      </c>
      <c r="F25" s="152" t="s">
        <v>175</v>
      </c>
      <c r="G25" s="152" t="s">
        <v>25</v>
      </c>
      <c r="H25" s="80"/>
      <c r="I25" s="80"/>
      <c r="J25" s="80"/>
      <c r="K25" s="80"/>
      <c r="L25" s="369" t="s">
        <v>168</v>
      </c>
      <c r="M25" s="369" t="s">
        <v>169</v>
      </c>
      <c r="N25" s="369"/>
      <c r="O25" s="369" t="s">
        <v>170</v>
      </c>
      <c r="P25" s="369" t="s">
        <v>171</v>
      </c>
      <c r="Q25" s="369" t="s">
        <v>172</v>
      </c>
      <c r="R25" s="369" t="s">
        <v>173</v>
      </c>
      <c r="S25" s="369" t="s">
        <v>174</v>
      </c>
    </row>
    <row r="26" spans="1:23">
      <c r="A26" s="76"/>
      <c r="B26" s="76"/>
      <c r="C26" s="153" t="s">
        <v>176</v>
      </c>
      <c r="D26" s="372" t="s">
        <v>155</v>
      </c>
      <c r="E26" s="154" t="s">
        <v>27</v>
      </c>
      <c r="F26" s="154" t="s">
        <v>27</v>
      </c>
      <c r="G26" s="154" t="s">
        <v>13</v>
      </c>
      <c r="H26" s="80"/>
      <c r="I26" s="149">
        <f>F27</f>
        <v>1.1499999999999999</v>
      </c>
      <c r="J26" s="149">
        <f>F28</f>
        <v>0</v>
      </c>
      <c r="K26" s="149">
        <f>F29</f>
        <v>3</v>
      </c>
      <c r="L26" s="371">
        <f>IF(I26=0,0,1)+I26</f>
        <v>2.15</v>
      </c>
      <c r="M26" s="371">
        <f>IF(J26=0,0,1)+J26</f>
        <v>0</v>
      </c>
      <c r="N26" s="371"/>
      <c r="O26" s="371">
        <f>IF(K26=0,0,1)+K26</f>
        <v>4</v>
      </c>
      <c r="P26" s="371">
        <f>IF(J26=0,0,(L26*J26)+L26)</f>
        <v>0</v>
      </c>
      <c r="Q26" s="371">
        <f>IF(K26=0,0,(M26*K26)+M26)</f>
        <v>0</v>
      </c>
      <c r="R26" s="371">
        <f>IF(I26=0,0,(O26*I26)+O26)</f>
        <v>8.6</v>
      </c>
      <c r="S26" s="371">
        <f>IF(K26=0,0,(P26*K26)+P26)</f>
        <v>0</v>
      </c>
    </row>
    <row r="27" spans="1:23" ht="16.149999999999999" thickBot="1">
      <c r="A27" s="76"/>
      <c r="B27" s="89" t="str">
        <f>game1</f>
        <v>Spurs</v>
      </c>
      <c r="C27" s="155" t="s">
        <v>178</v>
      </c>
      <c r="D27" s="373">
        <f>INDEX(Picks!C:C,MATCH(B27,Picks!B:B,0))</f>
        <v>7</v>
      </c>
      <c r="E27" s="373">
        <f>INDEX(Picks!D:D,MATCH(B27,Picks!B:B,0))</f>
        <v>2.15</v>
      </c>
      <c r="F27" s="373">
        <f>+((E27-1)*G27)</f>
        <v>1.1499999999999999</v>
      </c>
      <c r="G27" s="148">
        <v>1</v>
      </c>
      <c r="H27" s="80"/>
      <c r="I27" s="80"/>
      <c r="J27" s="80"/>
      <c r="K27" s="80"/>
      <c r="L27" s="369"/>
      <c r="M27" s="369"/>
      <c r="N27" s="369"/>
      <c r="O27" s="369"/>
      <c r="P27" s="369"/>
      <c r="Q27" s="369"/>
      <c r="R27" s="369"/>
      <c r="S27" s="369"/>
    </row>
    <row r="28" spans="1:23" ht="15.75">
      <c r="A28" s="76"/>
      <c r="B28" s="89" t="str">
        <f>game2</f>
        <v>Sunderland</v>
      </c>
      <c r="C28" s="159" t="s">
        <v>177</v>
      </c>
      <c r="D28" s="373">
        <f>INDEX(Picks!C:C,MATCH(B28,Picks!B:B,0))</f>
        <v>7</v>
      </c>
      <c r="E28" s="373">
        <f>INDEX(Picks!D:D,MATCH(B28,Picks!B:B,0))</f>
        <v>5</v>
      </c>
      <c r="F28" s="373">
        <f>+((E28-1)*G28)</f>
        <v>0</v>
      </c>
      <c r="G28" s="148">
        <v>0</v>
      </c>
      <c r="H28" s="80"/>
      <c r="I28" s="80"/>
      <c r="J28" s="80"/>
      <c r="K28" s="80"/>
      <c r="L28" s="5" t="s">
        <v>13</v>
      </c>
      <c r="M28" s="5" t="s">
        <v>28</v>
      </c>
      <c r="N28" s="374"/>
      <c r="O28" s="375" t="s">
        <v>18</v>
      </c>
      <c r="P28" s="378"/>
      <c r="Q28" s="369"/>
      <c r="R28" s="369"/>
      <c r="S28" s="369"/>
    </row>
    <row r="29" spans="1:23" ht="16.149999999999999" thickBot="1">
      <c r="A29" s="76"/>
      <c r="B29" s="89" t="str">
        <f>game3</f>
        <v>Sheff U</v>
      </c>
      <c r="C29" s="155" t="s">
        <v>178</v>
      </c>
      <c r="D29" s="373">
        <f>INDEX(Picks!C:C,MATCH(B29,Picks!B:B,0))</f>
        <v>6</v>
      </c>
      <c r="E29" s="373">
        <f>INDEX(Picks!D:D,MATCH(B29,Picks!B:B,0))</f>
        <v>4</v>
      </c>
      <c r="F29" s="373">
        <f>+((E29-1)*G29)</f>
        <v>3</v>
      </c>
      <c r="G29" s="148">
        <v>1</v>
      </c>
      <c r="H29" s="80"/>
      <c r="I29" s="80"/>
      <c r="J29" s="80"/>
      <c r="K29" s="80"/>
      <c r="L29" s="6">
        <f>SUM(G27:G29)</f>
        <v>2</v>
      </c>
      <c r="M29" s="7">
        <f>SUM(L26:S26)-7</f>
        <v>7.75</v>
      </c>
      <c r="N29" s="376"/>
      <c r="O29" s="377" t="e">
        <f>$M$3+M29</f>
        <v>#N/A</v>
      </c>
      <c r="P29" s="378"/>
      <c r="Q29" s="369"/>
      <c r="R29" s="369"/>
      <c r="S29" s="369"/>
    </row>
    <row r="30" spans="1:23" ht="13.15">
      <c r="A30" s="76"/>
      <c r="B30" s="76"/>
      <c r="C30" s="76"/>
      <c r="D30" s="80"/>
      <c r="E30" s="80"/>
      <c r="F30" s="80"/>
      <c r="G30" s="80"/>
      <c r="H30" s="80"/>
      <c r="I30" s="76"/>
      <c r="J30" s="76"/>
      <c r="K30" s="80"/>
      <c r="L30" s="157"/>
      <c r="M30" s="158"/>
      <c r="N30" s="158"/>
      <c r="O30" s="378"/>
      <c r="P30" s="378"/>
      <c r="Q30" s="369"/>
      <c r="R30" s="369"/>
      <c r="S30" s="369"/>
    </row>
    <row r="31" spans="1:23">
      <c r="A31" s="76"/>
      <c r="B31" s="76"/>
      <c r="C31" s="76"/>
      <c r="D31" s="80"/>
      <c r="E31" s="80"/>
      <c r="F31" s="80"/>
      <c r="G31" s="80"/>
      <c r="H31" s="80"/>
      <c r="I31" s="76"/>
      <c r="J31" s="76"/>
      <c r="K31" s="76"/>
      <c r="L31" s="378"/>
      <c r="M31" s="378"/>
      <c r="N31" s="378"/>
      <c r="O31" s="378"/>
      <c r="P31" s="378"/>
      <c r="Q31" s="378"/>
      <c r="R31" s="378"/>
      <c r="S31" s="378"/>
    </row>
    <row r="32" spans="1:23">
      <c r="A32" s="76"/>
      <c r="B32" s="76"/>
      <c r="C32" s="152" t="s">
        <v>25</v>
      </c>
      <c r="D32" s="382" t="s">
        <v>347</v>
      </c>
      <c r="E32" s="152" t="s">
        <v>175</v>
      </c>
      <c r="F32" s="152" t="s">
        <v>175</v>
      </c>
      <c r="G32" s="152" t="s">
        <v>25</v>
      </c>
      <c r="H32" s="80"/>
      <c r="I32" s="80"/>
      <c r="J32" s="80"/>
      <c r="K32" s="80"/>
      <c r="L32" s="369" t="s">
        <v>168</v>
      </c>
      <c r="M32" s="369" t="s">
        <v>169</v>
      </c>
      <c r="N32" s="369"/>
      <c r="O32" s="369" t="s">
        <v>170</v>
      </c>
      <c r="P32" s="369" t="s">
        <v>171</v>
      </c>
      <c r="Q32" s="369" t="s">
        <v>172</v>
      </c>
      <c r="R32" s="369" t="s">
        <v>173</v>
      </c>
      <c r="S32" s="369" t="s">
        <v>174</v>
      </c>
    </row>
    <row r="33" spans="1:19">
      <c r="A33" s="76"/>
      <c r="B33" s="76"/>
      <c r="C33" s="153" t="s">
        <v>176</v>
      </c>
      <c r="D33" s="372" t="s">
        <v>155</v>
      </c>
      <c r="E33" s="154" t="s">
        <v>27</v>
      </c>
      <c r="F33" s="154" t="s">
        <v>27</v>
      </c>
      <c r="G33" s="154" t="s">
        <v>13</v>
      </c>
      <c r="H33" s="80"/>
      <c r="I33" s="149">
        <f>F34</f>
        <v>1.1499999999999999</v>
      </c>
      <c r="J33" s="149">
        <f>F35</f>
        <v>0</v>
      </c>
      <c r="K33" s="149">
        <f>F36</f>
        <v>0</v>
      </c>
      <c r="L33" s="371">
        <f>IF(I33=0,0,1)+I33</f>
        <v>2.15</v>
      </c>
      <c r="M33" s="371">
        <f>IF(J33=0,0,1)+J33</f>
        <v>0</v>
      </c>
      <c r="N33" s="371"/>
      <c r="O33" s="371">
        <f>IF(K33=0,0,1)+K33</f>
        <v>0</v>
      </c>
      <c r="P33" s="371">
        <f>IF(J33=0,0,(L33*J33)+L33)</f>
        <v>0</v>
      </c>
      <c r="Q33" s="371">
        <f>IF(K33=0,0,(M33*K33)+M33)</f>
        <v>0</v>
      </c>
      <c r="R33" s="371">
        <f>IF(I33=0,0,(O33*I33)+O33)</f>
        <v>0</v>
      </c>
      <c r="S33" s="371">
        <f>IF(K33=0,0,(P33*K33)+P33)</f>
        <v>0</v>
      </c>
    </row>
    <row r="34" spans="1:19" ht="16.149999999999999" thickBot="1">
      <c r="A34" s="76"/>
      <c r="B34" s="89" t="str">
        <f>game1</f>
        <v>Spurs</v>
      </c>
      <c r="C34" s="155" t="s">
        <v>178</v>
      </c>
      <c r="D34" s="373">
        <f>INDEX(Picks!C:C,MATCH(B34,Picks!B:B,0))</f>
        <v>7</v>
      </c>
      <c r="E34" s="373">
        <f>INDEX(Picks!D:D,MATCH(B34,Picks!B:B,0))</f>
        <v>2.15</v>
      </c>
      <c r="F34" s="373">
        <f>+((E34-1)*G34)</f>
        <v>1.1499999999999999</v>
      </c>
      <c r="G34" s="148">
        <v>1</v>
      </c>
      <c r="H34" s="80"/>
      <c r="I34" s="80"/>
      <c r="J34" s="80"/>
      <c r="K34" s="80"/>
      <c r="L34" s="80"/>
      <c r="M34" s="80"/>
      <c r="N34" s="80"/>
      <c r="O34" s="369"/>
      <c r="P34" s="369"/>
      <c r="Q34" s="369"/>
      <c r="R34" s="369"/>
      <c r="S34" s="369"/>
    </row>
    <row r="35" spans="1:19" ht="15.75">
      <c r="A35" s="76"/>
      <c r="B35" s="89" t="str">
        <f>game2</f>
        <v>Sunderland</v>
      </c>
      <c r="C35" s="159" t="s">
        <v>177</v>
      </c>
      <c r="D35" s="373">
        <f>INDEX(Picks!C:C,MATCH(B35,Picks!B:B,0))</f>
        <v>7</v>
      </c>
      <c r="E35" s="373">
        <f>INDEX(Picks!D:D,MATCH(B35,Picks!B:B,0))</f>
        <v>5</v>
      </c>
      <c r="F35" s="373">
        <f>+((E35-1)*G35)</f>
        <v>0</v>
      </c>
      <c r="G35" s="148">
        <v>0</v>
      </c>
      <c r="H35" s="80"/>
      <c r="I35" s="80"/>
      <c r="J35" s="80"/>
      <c r="K35" s="80"/>
      <c r="L35" s="5" t="s">
        <v>13</v>
      </c>
      <c r="M35" s="5" t="s">
        <v>28</v>
      </c>
      <c r="N35" s="374"/>
      <c r="O35" s="375" t="s">
        <v>18</v>
      </c>
      <c r="P35" s="378"/>
      <c r="Q35" s="369"/>
      <c r="R35" s="369"/>
      <c r="S35" s="369"/>
    </row>
    <row r="36" spans="1:19" ht="16.149999999999999" thickBot="1">
      <c r="A36" s="76"/>
      <c r="B36" s="89" t="str">
        <f>game3</f>
        <v>Sheff U</v>
      </c>
      <c r="C36" s="159" t="s">
        <v>177</v>
      </c>
      <c r="D36" s="373">
        <f>INDEX(Picks!C:C,MATCH(B36,Picks!B:B,0))</f>
        <v>6</v>
      </c>
      <c r="E36" s="373">
        <f>INDEX(Picks!D:D,MATCH(B36,Picks!B:B,0))</f>
        <v>4</v>
      </c>
      <c r="F36" s="373">
        <f>+((E36-1)*G36)</f>
        <v>0</v>
      </c>
      <c r="G36" s="148">
        <v>0</v>
      </c>
      <c r="H36" s="80"/>
      <c r="I36" s="80"/>
      <c r="J36" s="80"/>
      <c r="K36" s="80"/>
      <c r="L36" s="6">
        <f>SUM(G34:G36)</f>
        <v>1</v>
      </c>
      <c r="M36" s="7">
        <f>SUM(L33:S33)-7</f>
        <v>-4.8499999999999996</v>
      </c>
      <c r="N36" s="376"/>
      <c r="O36" s="377" t="e">
        <f>$M$3+M36</f>
        <v>#N/A</v>
      </c>
      <c r="P36" s="378"/>
      <c r="Q36" s="369"/>
      <c r="R36" s="369"/>
      <c r="S36" s="369"/>
    </row>
    <row r="37" spans="1:19">
      <c r="A37" s="76"/>
      <c r="D37" s="1"/>
      <c r="E37" s="1"/>
      <c r="F37" s="1"/>
      <c r="G37" s="1"/>
      <c r="H37" s="80"/>
      <c r="I37" s="76"/>
      <c r="J37" s="76"/>
      <c r="K37" s="76"/>
      <c r="N37" s="76"/>
      <c r="O37" s="381"/>
      <c r="P37" s="381"/>
      <c r="Q37" s="381"/>
      <c r="R37" s="381"/>
      <c r="S37" s="381"/>
    </row>
    <row r="38" spans="1:19">
      <c r="A38" s="76"/>
      <c r="D38" s="1"/>
      <c r="E38" s="1"/>
      <c r="F38" s="1"/>
      <c r="G38" s="1"/>
      <c r="H38" s="1"/>
      <c r="I38" s="76"/>
      <c r="J38" s="76"/>
      <c r="K38" s="76"/>
      <c r="L38" s="378"/>
      <c r="M38" s="378"/>
      <c r="N38" s="378"/>
      <c r="O38" s="378"/>
      <c r="P38" s="378"/>
      <c r="Q38" s="378"/>
      <c r="R38" s="378"/>
      <c r="S38" s="378"/>
    </row>
    <row r="39" spans="1:19">
      <c r="A39" s="76"/>
      <c r="B39" s="76"/>
      <c r="C39" s="152" t="s">
        <v>25</v>
      </c>
      <c r="D39" s="382" t="s">
        <v>347</v>
      </c>
      <c r="E39" s="152" t="s">
        <v>175</v>
      </c>
      <c r="F39" s="152" t="s">
        <v>175</v>
      </c>
      <c r="G39" s="152" t="s">
        <v>25</v>
      </c>
      <c r="H39" s="80"/>
      <c r="I39" s="80"/>
      <c r="J39" s="80"/>
      <c r="K39" s="80"/>
      <c r="L39" s="369" t="s">
        <v>168</v>
      </c>
      <c r="M39" s="369" t="s">
        <v>169</v>
      </c>
      <c r="N39" s="369"/>
      <c r="O39" s="369" t="s">
        <v>170</v>
      </c>
      <c r="P39" s="369" t="s">
        <v>171</v>
      </c>
      <c r="Q39" s="369" t="s">
        <v>172</v>
      </c>
      <c r="R39" s="369" t="s">
        <v>173</v>
      </c>
      <c r="S39" s="369" t="s">
        <v>174</v>
      </c>
    </row>
    <row r="40" spans="1:19">
      <c r="A40" s="76"/>
      <c r="B40" s="76"/>
      <c r="C40" s="153" t="s">
        <v>176</v>
      </c>
      <c r="D40" s="372" t="s">
        <v>155</v>
      </c>
      <c r="E40" s="154" t="s">
        <v>27</v>
      </c>
      <c r="F40" s="154" t="s">
        <v>27</v>
      </c>
      <c r="G40" s="154" t="s">
        <v>13</v>
      </c>
      <c r="H40" s="80"/>
      <c r="I40" s="149">
        <f>F41</f>
        <v>0</v>
      </c>
      <c r="J40" s="149">
        <f>F42</f>
        <v>4</v>
      </c>
      <c r="K40" s="149">
        <f>F43</f>
        <v>0</v>
      </c>
      <c r="L40" s="371">
        <f>IF(I40=0,0,1)+I40</f>
        <v>0</v>
      </c>
      <c r="M40" s="371">
        <f>IF(J40=0,0,1)+J40</f>
        <v>5</v>
      </c>
      <c r="N40" s="371"/>
      <c r="O40" s="371">
        <f>IF(K40=0,0,1)+K40</f>
        <v>0</v>
      </c>
      <c r="P40" s="371">
        <f>IF(J40=0,0,(L40*J40)+L40)</f>
        <v>0</v>
      </c>
      <c r="Q40" s="371">
        <f>IF(K40=0,0,(M40*K40)+M40)</f>
        <v>0</v>
      </c>
      <c r="R40" s="371">
        <f>IF(I40=0,0,(O40*I40)+O40)</f>
        <v>0</v>
      </c>
      <c r="S40" s="371">
        <f>IF(K40=0,0,(P40*K40)+P40)</f>
        <v>0</v>
      </c>
    </row>
    <row r="41" spans="1:19" ht="16.149999999999999" thickBot="1">
      <c r="A41" s="76"/>
      <c r="B41" s="89" t="str">
        <f>game1</f>
        <v>Spurs</v>
      </c>
      <c r="C41" s="159" t="s">
        <v>177</v>
      </c>
      <c r="D41" s="373">
        <f>INDEX(Picks!C:C,MATCH(B41,Picks!B:B,0))</f>
        <v>7</v>
      </c>
      <c r="E41" s="373">
        <f>INDEX(Picks!D:D,MATCH(B41,Picks!B:B,0))</f>
        <v>2.15</v>
      </c>
      <c r="F41" s="373">
        <f>+((E41-1)*G41)</f>
        <v>0</v>
      </c>
      <c r="G41" s="148">
        <v>0</v>
      </c>
      <c r="H41" s="80"/>
      <c r="I41" s="80"/>
      <c r="J41" s="80"/>
      <c r="K41" s="80"/>
      <c r="L41" s="80"/>
      <c r="M41" s="80"/>
      <c r="N41" s="80"/>
      <c r="O41" s="369"/>
      <c r="P41" s="369"/>
      <c r="Q41" s="369"/>
      <c r="R41" s="369"/>
      <c r="S41" s="369"/>
    </row>
    <row r="42" spans="1:19" ht="15.75">
      <c r="A42" s="76"/>
      <c r="B42" s="89" t="str">
        <f>game2</f>
        <v>Sunderland</v>
      </c>
      <c r="C42" s="155" t="s">
        <v>178</v>
      </c>
      <c r="D42" s="373">
        <f>INDEX(Picks!C:C,MATCH(B42,Picks!B:B,0))</f>
        <v>7</v>
      </c>
      <c r="E42" s="373">
        <f>INDEX(Picks!D:D,MATCH(B42,Picks!B:B,0))</f>
        <v>5</v>
      </c>
      <c r="F42" s="373">
        <f>+((E42-1)*G42)</f>
        <v>4</v>
      </c>
      <c r="G42" s="148">
        <v>1</v>
      </c>
      <c r="H42" s="80"/>
      <c r="I42" s="80"/>
      <c r="J42" s="80"/>
      <c r="K42" s="80"/>
      <c r="L42" s="5" t="s">
        <v>13</v>
      </c>
      <c r="M42" s="5" t="s">
        <v>28</v>
      </c>
      <c r="N42" s="374"/>
      <c r="O42" s="375" t="s">
        <v>18</v>
      </c>
      <c r="P42" s="378"/>
      <c r="Q42" s="369"/>
      <c r="R42" s="369"/>
      <c r="S42" s="369"/>
    </row>
    <row r="43" spans="1:19" ht="16.149999999999999" thickBot="1">
      <c r="A43" s="76"/>
      <c r="B43" s="89" t="str">
        <f>game3</f>
        <v>Sheff U</v>
      </c>
      <c r="C43" s="159" t="s">
        <v>177</v>
      </c>
      <c r="D43" s="373">
        <f>INDEX(Picks!C:C,MATCH(B43,Picks!B:B,0))</f>
        <v>6</v>
      </c>
      <c r="E43" s="373">
        <f>INDEX(Picks!D:D,MATCH(B43,Picks!B:B,0))</f>
        <v>4</v>
      </c>
      <c r="F43" s="373">
        <f>+((E43-1)*G43)</f>
        <v>0</v>
      </c>
      <c r="G43" s="148">
        <v>0</v>
      </c>
      <c r="H43" s="80"/>
      <c r="I43" s="80"/>
      <c r="J43" s="80"/>
      <c r="K43" s="80"/>
      <c r="L43" s="6">
        <f>SUM(G41:G43)</f>
        <v>1</v>
      </c>
      <c r="M43" s="7">
        <f>SUM(L40:S40)-7</f>
        <v>-2</v>
      </c>
      <c r="N43" s="376"/>
      <c r="O43" s="377" t="e">
        <f>$M$3+M43</f>
        <v>#N/A</v>
      </c>
      <c r="P43" s="378"/>
      <c r="Q43" s="369"/>
      <c r="R43" s="369"/>
      <c r="S43" s="369"/>
    </row>
    <row r="44" spans="1:19">
      <c r="A44" s="76"/>
      <c r="B44" s="76"/>
      <c r="C44" s="76"/>
      <c r="D44" s="80"/>
      <c r="E44" s="80"/>
      <c r="F44" s="80"/>
      <c r="G44" s="80"/>
      <c r="H44" s="80"/>
      <c r="I44" s="76"/>
      <c r="J44" s="76"/>
      <c r="K44" s="76"/>
      <c r="L44" s="76"/>
      <c r="M44" s="76"/>
      <c r="N44" s="76"/>
      <c r="O44" s="378"/>
      <c r="P44" s="378"/>
      <c r="Q44" s="378"/>
      <c r="R44" s="378"/>
      <c r="S44" s="378"/>
    </row>
    <row r="45" spans="1:19">
      <c r="A45" s="76"/>
      <c r="B45" s="76"/>
      <c r="C45" s="76"/>
      <c r="D45" s="80"/>
      <c r="E45" s="80"/>
      <c r="F45" s="80"/>
      <c r="G45" s="80"/>
      <c r="H45" s="80"/>
      <c r="I45" s="76"/>
      <c r="J45" s="76"/>
      <c r="K45" s="76"/>
      <c r="L45" s="76"/>
      <c r="M45" s="76"/>
      <c r="N45" s="76"/>
      <c r="O45" s="378"/>
      <c r="P45" s="378"/>
      <c r="Q45" s="378"/>
      <c r="R45" s="378"/>
      <c r="S45" s="378"/>
    </row>
    <row r="46" spans="1:19">
      <c r="A46" s="76"/>
      <c r="B46" s="76"/>
      <c r="C46" s="152" t="s">
        <v>25</v>
      </c>
      <c r="D46" s="382" t="s">
        <v>347</v>
      </c>
      <c r="E46" s="152" t="s">
        <v>175</v>
      </c>
      <c r="F46" s="152" t="s">
        <v>175</v>
      </c>
      <c r="G46" s="152" t="s">
        <v>25</v>
      </c>
      <c r="H46" s="80"/>
      <c r="I46" s="80"/>
      <c r="J46" s="80"/>
      <c r="K46" s="80"/>
      <c r="L46" s="369" t="s">
        <v>168</v>
      </c>
      <c r="M46" s="369" t="s">
        <v>169</v>
      </c>
      <c r="N46" s="369"/>
      <c r="O46" s="369" t="s">
        <v>170</v>
      </c>
      <c r="P46" s="369" t="s">
        <v>171</v>
      </c>
      <c r="Q46" s="369" t="s">
        <v>172</v>
      </c>
      <c r="R46" s="369" t="s">
        <v>173</v>
      </c>
      <c r="S46" s="369" t="s">
        <v>174</v>
      </c>
    </row>
    <row r="47" spans="1:19">
      <c r="A47" s="76"/>
      <c r="B47" s="76"/>
      <c r="C47" s="153" t="s">
        <v>176</v>
      </c>
      <c r="D47" s="372" t="s">
        <v>155</v>
      </c>
      <c r="E47" s="154" t="s">
        <v>27</v>
      </c>
      <c r="F47" s="154" t="s">
        <v>27</v>
      </c>
      <c r="G47" s="154" t="s">
        <v>13</v>
      </c>
      <c r="H47" s="80"/>
      <c r="I47" s="149">
        <f>F48</f>
        <v>0</v>
      </c>
      <c r="J47" s="149">
        <f>F49</f>
        <v>0</v>
      </c>
      <c r="K47" s="149">
        <f>F50</f>
        <v>3</v>
      </c>
      <c r="L47" s="371">
        <f>IF(I47=0,0,1)+I47</f>
        <v>0</v>
      </c>
      <c r="M47" s="371">
        <f>IF(J47=0,0,1)+J47</f>
        <v>0</v>
      </c>
      <c r="N47" s="371"/>
      <c r="O47" s="371">
        <f>IF(K47=0,0,1)+K47</f>
        <v>4</v>
      </c>
      <c r="P47" s="371">
        <f>IF(J47=0,0,(L47*J47)+L47)</f>
        <v>0</v>
      </c>
      <c r="Q47" s="371">
        <f>IF(K47=0,0,(M47*K47)+M47)</f>
        <v>0</v>
      </c>
      <c r="R47" s="371">
        <f>IF(I47=0,0,(O47*I47)+O47)</f>
        <v>0</v>
      </c>
      <c r="S47" s="371">
        <f>IF(K47=0,0,(P47*K47)+P47)</f>
        <v>0</v>
      </c>
    </row>
    <row r="48" spans="1:19" ht="16.149999999999999" thickBot="1">
      <c r="A48" s="76"/>
      <c r="B48" s="89" t="str">
        <f>game1</f>
        <v>Spurs</v>
      </c>
      <c r="C48" s="159" t="s">
        <v>177</v>
      </c>
      <c r="D48" s="373">
        <f>INDEX(Picks!C:C,MATCH(B48,Picks!B:B,0))</f>
        <v>7</v>
      </c>
      <c r="E48" s="373">
        <f>INDEX(Picks!D:D,MATCH(B48,Picks!B:B,0))</f>
        <v>2.15</v>
      </c>
      <c r="F48" s="373">
        <f>+((E48-1)*G48)</f>
        <v>0</v>
      </c>
      <c r="G48" s="148">
        <v>0</v>
      </c>
      <c r="H48" s="80"/>
      <c r="I48" s="80"/>
      <c r="J48" s="80"/>
      <c r="K48" s="80"/>
      <c r="L48" s="80"/>
      <c r="M48" s="80"/>
      <c r="N48" s="80"/>
      <c r="O48" s="378"/>
      <c r="P48" s="378"/>
      <c r="Q48" s="378"/>
      <c r="R48" s="378"/>
      <c r="S48" s="378"/>
    </row>
    <row r="49" spans="1:19" ht="15.75">
      <c r="A49" s="76"/>
      <c r="B49" s="89" t="str">
        <f>game2</f>
        <v>Sunderland</v>
      </c>
      <c r="C49" s="159" t="s">
        <v>177</v>
      </c>
      <c r="D49" s="373">
        <f>INDEX(Picks!C:C,MATCH(B49,Picks!B:B,0))</f>
        <v>7</v>
      </c>
      <c r="E49" s="373">
        <f>INDEX(Picks!D:D,MATCH(B49,Picks!B:B,0))</f>
        <v>5</v>
      </c>
      <c r="F49" s="373">
        <f>+((E49-1)*G49)</f>
        <v>0</v>
      </c>
      <c r="G49" s="148">
        <v>0</v>
      </c>
      <c r="H49" s="80"/>
      <c r="I49" s="80"/>
      <c r="J49" s="80"/>
      <c r="K49" s="80"/>
      <c r="L49" s="5" t="s">
        <v>13</v>
      </c>
      <c r="M49" s="5" t="s">
        <v>28</v>
      </c>
      <c r="N49" s="374"/>
      <c r="O49" s="375" t="s">
        <v>18</v>
      </c>
      <c r="P49" s="378"/>
      <c r="Q49" s="378"/>
      <c r="R49" s="378"/>
      <c r="S49" s="378"/>
    </row>
    <row r="50" spans="1:19" ht="16.149999999999999" thickBot="1">
      <c r="A50" s="76"/>
      <c r="B50" s="89" t="str">
        <f>game3</f>
        <v>Sheff U</v>
      </c>
      <c r="C50" s="155" t="s">
        <v>178</v>
      </c>
      <c r="D50" s="373">
        <f>INDEX(Picks!C:C,MATCH(B50,Picks!B:B,0))</f>
        <v>6</v>
      </c>
      <c r="E50" s="373">
        <f>INDEX(Picks!D:D,MATCH(B50,Picks!B:B,0))</f>
        <v>4</v>
      </c>
      <c r="F50" s="373">
        <f>+((E50-1)*G50)</f>
        <v>3</v>
      </c>
      <c r="G50" s="148">
        <v>1</v>
      </c>
      <c r="H50" s="80"/>
      <c r="I50" s="80"/>
      <c r="J50" s="80"/>
      <c r="K50" s="80"/>
      <c r="L50" s="6">
        <f>SUM(G48:G50)</f>
        <v>1</v>
      </c>
      <c r="M50" s="7">
        <f>SUM(L47:S47)-7</f>
        <v>-3</v>
      </c>
      <c r="N50" s="376"/>
      <c r="O50" s="377" t="e">
        <f>$M$3+M50</f>
        <v>#N/A</v>
      </c>
      <c r="P50" s="378"/>
      <c r="Q50" s="378"/>
      <c r="R50" s="378"/>
      <c r="S50" s="37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08"/>
    <col min="2" max="2" width="118.73046875" style="208" customWidth="1"/>
    <col min="3" max="3" width="20.265625" style="208" customWidth="1"/>
    <col min="4" max="16384" width="9.1328125" style="208"/>
  </cols>
  <sheetData>
    <row r="1" spans="1:2">
      <c r="A1" s="350" t="s">
        <v>333</v>
      </c>
    </row>
    <row r="2" spans="1:2" ht="45">
      <c r="B2" s="207" t="s">
        <v>192</v>
      </c>
    </row>
    <row r="3" spans="1:2">
      <c r="B3" s="209"/>
    </row>
    <row r="4" spans="1:2" ht="60.4">
      <c r="B4" s="210" t="s">
        <v>193</v>
      </c>
    </row>
    <row r="5" spans="1:2">
      <c r="B5" s="209"/>
    </row>
    <row r="6" spans="1:2" ht="45">
      <c r="B6" s="207" t="s">
        <v>194</v>
      </c>
    </row>
    <row r="7" spans="1:2">
      <c r="B7" s="209"/>
    </row>
    <row r="8" spans="1:2" ht="60">
      <c r="B8" s="207" t="s">
        <v>195</v>
      </c>
    </row>
    <row r="9" spans="1:2">
      <c r="B9" s="209"/>
    </row>
    <row r="10" spans="1:2" ht="30">
      <c r="B10" s="211" t="s">
        <v>189</v>
      </c>
    </row>
    <row r="11" spans="1:2">
      <c r="B11" s="212"/>
    </row>
    <row r="12" spans="1:2">
      <c r="B12" s="212"/>
    </row>
    <row r="13" spans="1:2">
      <c r="B13" s="209"/>
    </row>
    <row r="14" spans="1:2">
      <c r="B14" s="209"/>
    </row>
    <row r="15" spans="1:2">
      <c r="B15" s="209"/>
    </row>
    <row r="16" spans="1:2">
      <c r="B16" s="209"/>
    </row>
    <row r="17" spans="2:2">
      <c r="B17" s="209"/>
    </row>
    <row r="18" spans="2:2">
      <c r="B18" s="209"/>
    </row>
    <row r="19" spans="2:2">
      <c r="B19" s="211" t="s">
        <v>190</v>
      </c>
    </row>
    <row r="20" spans="2:2">
      <c r="B20" s="212"/>
    </row>
    <row r="21" spans="2:2">
      <c r="B21" s="212"/>
    </row>
    <row r="22" spans="2:2">
      <c r="B22" s="209"/>
    </row>
    <row r="23" spans="2:2">
      <c r="B23" s="209"/>
    </row>
    <row r="24" spans="2:2">
      <c r="B24" s="209"/>
    </row>
    <row r="25" spans="2:2">
      <c r="B25" s="209"/>
    </row>
    <row r="26" spans="2:2">
      <c r="B26" s="209"/>
    </row>
    <row r="27" spans="2:2">
      <c r="B27" s="209"/>
    </row>
    <row r="28" spans="2:2">
      <c r="B28" s="211" t="s">
        <v>191</v>
      </c>
    </row>
    <row r="29" spans="2:2">
      <c r="B29" s="212"/>
    </row>
    <row r="30" spans="2:2">
      <c r="B30" s="212"/>
    </row>
    <row r="31" spans="2:2">
      <c r="B31" s="209"/>
    </row>
    <row r="32" spans="2:2">
      <c r="B32" s="209"/>
    </row>
    <row r="33" spans="2:2">
      <c r="B33" s="209"/>
    </row>
    <row r="34" spans="2:2">
      <c r="B34" s="209"/>
    </row>
    <row r="35" spans="2:2">
      <c r="B35" s="209"/>
    </row>
    <row r="36" spans="2:2">
      <c r="B36" s="209"/>
    </row>
    <row r="37" spans="2:2">
      <c r="B37" s="211" t="s">
        <v>196</v>
      </c>
    </row>
    <row r="38" spans="2:2">
      <c r="B38" s="213"/>
    </row>
    <row r="39" spans="2:2">
      <c r="B39" s="213"/>
    </row>
    <row r="40" spans="2:2">
      <c r="B40" s="209"/>
    </row>
    <row r="41" spans="2:2">
      <c r="B41" s="209"/>
    </row>
    <row r="42" spans="2:2">
      <c r="B42" s="209"/>
    </row>
    <row r="43" spans="2:2">
      <c r="B43" s="209"/>
    </row>
    <row r="44" spans="2:2">
      <c r="B44" s="209"/>
    </row>
    <row r="45" spans="2:2">
      <c r="B45" s="209"/>
    </row>
    <row r="46" spans="2:2" ht="46.15">
      <c r="B46" s="214" t="s">
        <v>197</v>
      </c>
    </row>
    <row r="47" spans="2:2">
      <c r="B47" s="209"/>
    </row>
    <row r="48" spans="2:2" ht="45">
      <c r="B48" s="207" t="s">
        <v>198</v>
      </c>
    </row>
    <row r="49" spans="2:2">
      <c r="B49" s="209"/>
    </row>
    <row r="50" spans="2:2" ht="45">
      <c r="B50" s="207" t="s">
        <v>199</v>
      </c>
    </row>
    <row r="51" spans="2:2">
      <c r="B51" s="209"/>
    </row>
    <row r="52" spans="2:2" ht="75">
      <c r="B52" s="207" t="s">
        <v>200</v>
      </c>
    </row>
    <row r="53" spans="2:2">
      <c r="B53" s="209"/>
    </row>
    <row r="54" spans="2:2" ht="45">
      <c r="B54" s="215" t="s">
        <v>209</v>
      </c>
    </row>
    <row r="55" spans="2:2">
      <c r="B55" s="209"/>
    </row>
    <row r="56" spans="2:2" ht="45">
      <c r="B56" s="207" t="s">
        <v>201</v>
      </c>
    </row>
    <row r="57" spans="2:2">
      <c r="B57" s="209"/>
    </row>
    <row r="58" spans="2:2" ht="30">
      <c r="B58" s="207" t="s">
        <v>202</v>
      </c>
    </row>
    <row r="59" spans="2:2">
      <c r="B59" s="209"/>
    </row>
    <row r="60" spans="2:2" ht="60">
      <c r="B60" s="207" t="s">
        <v>203</v>
      </c>
    </row>
    <row r="61" spans="2:2">
      <c r="B61" s="209"/>
    </row>
    <row r="62" spans="2:2" ht="60">
      <c r="B62" s="207" t="s">
        <v>204</v>
      </c>
    </row>
    <row r="63" spans="2:2">
      <c r="B63" s="209"/>
    </row>
    <row r="64" spans="2:2" ht="45">
      <c r="B64" s="207" t="s">
        <v>205</v>
      </c>
    </row>
    <row r="65" spans="2:2">
      <c r="B65" s="209"/>
    </row>
    <row r="66" spans="2:2" ht="30">
      <c r="B66" s="207" t="s">
        <v>206</v>
      </c>
    </row>
    <row r="67" spans="2:2">
      <c r="B67" s="209"/>
    </row>
    <row r="68" spans="2:2" ht="30">
      <c r="B68" s="207" t="s">
        <v>207</v>
      </c>
    </row>
    <row r="69" spans="2:2">
      <c r="B69" s="209"/>
    </row>
    <row r="70" spans="2:2" ht="60">
      <c r="B70" s="215" t="s">
        <v>210</v>
      </c>
    </row>
    <row r="71" spans="2:2">
      <c r="B71" s="209"/>
    </row>
    <row r="72" spans="2:2" ht="45">
      <c r="B72" s="207" t="s">
        <v>208</v>
      </c>
    </row>
    <row r="73" spans="2:2">
      <c r="B73" s="209"/>
    </row>
    <row r="74" spans="2:2" ht="30">
      <c r="B74" s="215" t="s">
        <v>211</v>
      </c>
    </row>
    <row r="75" spans="2:2">
      <c r="B75" s="209"/>
    </row>
    <row r="76" spans="2:2" ht="30">
      <c r="B76" s="215"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2025-09-11T06:29:40Z</cp:lastPrinted>
  <dcterms:created xsi:type="dcterms:W3CDTF">2002-08-12T11:42:50Z</dcterms:created>
  <dcterms:modified xsi:type="dcterms:W3CDTF">2025-09-15T06:19:00Z</dcterms:modified>
</cp:coreProperties>
</file>