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pivotTables/pivotTable2.xml" ContentType="application/vnd.openxmlformats-officedocument.spreadsheetml.pivotTable+xml"/>
  <Override PartName="/xl/pivotTables/pivotTable3.xml" ContentType="application/vnd.openxmlformats-officedocument.spreadsheetml.pivotTable+xml"/>
  <Override PartName="/xl/drawings/drawing6.xml" ContentType="application/vnd.openxmlformats-officedocument.drawing+xml"/>
  <Override PartName="/xl/drawings/drawing7.xml" ContentType="application/vnd.openxmlformats-officedocument.drawing+xml"/>
  <Override PartName="/xl/comments3.xml" ContentType="application/vnd.openxmlformats-officedocument.spreadsheetml.comments+xml"/>
  <Override PartName="/xl/drawings/drawing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d.docs.live.net/8ffe27ca8b5d80fd/_Throwaway/"/>
    </mc:Choice>
  </mc:AlternateContent>
  <xr:revisionPtr revIDLastSave="0" documentId="8_{170BDE92-F9AA-4D9E-8B01-C167FFF6BBA6}" xr6:coauthVersionLast="47" xr6:coauthVersionMax="47" xr10:uidLastSave="{00000000-0000-0000-0000-000000000000}"/>
  <bookViews>
    <workbookView xWindow="-98" yWindow="-98" windowWidth="21795" windowHeight="13875" tabRatio="879" firstSheet="1" activeTab="12" xr2:uid="{00000000-000D-0000-FFFF-FFFF00000000}"/>
  </bookViews>
  <sheets>
    <sheet name="Home" sheetId="52" r:id="rId1"/>
    <sheet name="Players" sheetId="44" r:id="rId2"/>
    <sheet name="Weekly" sheetId="2" r:id="rId3"/>
    <sheet name="Table" sheetId="22" r:id="rId4"/>
    <sheet name="Results" sheetId="1" r:id="rId5"/>
    <sheet name="Fixture" sheetId="23" r:id="rId6"/>
    <sheet name="Cup" sheetId="25" r:id="rId7"/>
    <sheet name="Match" sheetId="7" r:id="rId8"/>
    <sheet name="CupDraw" sheetId="13" r:id="rId9"/>
    <sheet name="Picks" sheetId="5" r:id="rId10"/>
    <sheet name="3of3" sheetId="50" r:id="rId11"/>
    <sheet name="TopPicks" sheetId="39" r:id="rId12"/>
    <sheet name="Images" sheetId="34" r:id="rId13"/>
    <sheet name="What-If" sheetId="6" r:id="rId14"/>
    <sheet name="Predictions" sheetId="24" r:id="rId15"/>
    <sheet name="Diary" sheetId="9" r:id="rId16"/>
    <sheet name="Odds" sheetId="3" r:id="rId17"/>
    <sheet name="PizzaRace" sheetId="54" r:id="rId18"/>
    <sheet name="Prizelist" sheetId="10" r:id="rId19"/>
    <sheet name="Prizes" sheetId="48" r:id="rId20"/>
    <sheet name="Perms" sheetId="55" r:id="rId21"/>
    <sheet name="FAQ" sheetId="42" r:id="rId22"/>
  </sheets>
  <definedNames>
    <definedName name="_xlnm._FilterDatabase" localSheetId="5" hidden="1">Fixture!$A$1:$D$64</definedName>
    <definedName name="_xlnm._FilterDatabase" localSheetId="7" hidden="1">Match!$A$1:$AC$139</definedName>
    <definedName name="_xlnm._FilterDatabase" localSheetId="9" hidden="1">Picks!$A$1:$AQ$184</definedName>
    <definedName name="_xlnm._FilterDatabase" localSheetId="1" hidden="1">Players!$A$1:$B$100</definedName>
    <definedName name="_xlnm._FilterDatabase" localSheetId="4" hidden="1">Results!$A$1:$AI$244</definedName>
    <definedName name="_xlnm._FilterDatabase" localSheetId="3" hidden="1">Table!$A$1:$U$51</definedName>
    <definedName name="_xlnm._FilterDatabase" localSheetId="2" hidden="1">Weekly!$A$1:$BX$56</definedName>
    <definedName name="all_scores" localSheetId="3">Weekly!#REF!</definedName>
    <definedName name="all_scores">Weekly!#REF!</definedName>
    <definedName name="choices">Odds!$G$2:$G$140</definedName>
    <definedName name="CurrentSeason">Images!$C$1</definedName>
    <definedName name="CurrentWeek">Images!$C$2</definedName>
    <definedName name="entrants">Prizelist!$B$1</definedName>
    <definedName name="game1">Perms!$B$6</definedName>
    <definedName name="game2">Perms!$B$7</definedName>
    <definedName name="game3">Perms!$B$8</definedName>
    <definedName name="groups">#REF!</definedName>
    <definedName name="Inactive">Table!$T$1</definedName>
    <definedName name="nonentrants">Prizelist!$B$22</definedName>
    <definedName name="placefund">Prizelist!#REF!</definedName>
    <definedName name="positionpot">Prizelist!#REF!</definedName>
    <definedName name="pot">Prizes!$I$1</definedName>
    <definedName name="PotA">Prizes!$I$2</definedName>
    <definedName name="PotB">Prizes!$I$3</definedName>
    <definedName name="PotC">Prizes!$I$4</definedName>
    <definedName name="PotD">Prizes!$I$5</definedName>
    <definedName name="_xlnm.Print_Area" localSheetId="6">Cup!$B$2:$W$93</definedName>
    <definedName name="_xlnm.Print_Area" localSheetId="8">CupDraw!$I$1:$AE$93</definedName>
    <definedName name="_xlnm.Print_Area" localSheetId="15">Diary!$B$3:$F$25</definedName>
    <definedName name="_xlnm.Print_Area" localSheetId="21">FAQ!$A$1:$C$78</definedName>
    <definedName name="_xlnm.Print_Area" localSheetId="5">Fixture!$A$1:$C$46</definedName>
    <definedName name="_xlnm.Print_Area" localSheetId="12">Images!$B$2:$AL$34</definedName>
    <definedName name="_xlnm.Print_Area" localSheetId="16">Odds!$B$1:$E$46</definedName>
    <definedName name="_xlnm.Print_Area" localSheetId="20">Perms!$B$2:$O$50</definedName>
    <definedName name="_xlnm.Print_Area" localSheetId="9">Picks!$A$1:$Q$133</definedName>
    <definedName name="_xlnm.Print_Area" localSheetId="14">Predictions!$A$1:$G$133</definedName>
    <definedName name="_xlnm.Print_Area" localSheetId="18">Prizelist!$A$1:$B$28</definedName>
    <definedName name="_xlnm.Print_Area" localSheetId="4">Results!$I$1:$W$45</definedName>
    <definedName name="_xlnm.Print_Area" localSheetId="3">Table!$A$1:$J$51</definedName>
    <definedName name="_xlnm.Print_Area" localSheetId="2">Weekly!$A$1:$M$12</definedName>
    <definedName name="_xlnm.Print_Area" localSheetId="13">'What-If'!$A$1:$R$7</definedName>
    <definedName name="SeasonTitle">Images!$D$1</definedName>
    <definedName name="TableWeeklyActual">Table!$R$54</definedName>
    <definedName name="TableWeeklyMax">Table!$Q$54</definedName>
    <definedName name="thisweekscore">Weekly!$H$2:$H$51</definedName>
    <definedName name="TopMaxScores">Picks!$AM$2:$AM$51</definedName>
    <definedName name="TopScores">Picks!$AH$2:$AH$51</definedName>
    <definedName name="totalscores">Weekly!$F$2:$F$51</definedName>
    <definedName name="twentysixth">Prizelist!#REF!</definedName>
  </definedNames>
  <calcPr calcId="191029"/>
  <pivotCaches>
    <pivotCache cacheId="3" r:id="rId23"/>
    <pivotCache cacheId="9" r:id="rId24"/>
    <pivotCache cacheId="14" r:id="rId25"/>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B53" i="2" l="1"/>
  <c r="Y53" i="2"/>
  <c r="V53" i="2"/>
  <c r="S53" i="2"/>
  <c r="P53" i="2"/>
  <c r="K53" i="2"/>
  <c r="K3" i="34"/>
  <c r="G151" i="24"/>
  <c r="F151" i="24"/>
  <c r="G150" i="24"/>
  <c r="F150" i="24"/>
  <c r="G148" i="24"/>
  <c r="F148" i="24"/>
  <c r="G147" i="24"/>
  <c r="F147" i="24"/>
  <c r="G145" i="24"/>
  <c r="F145" i="24"/>
  <c r="G144" i="24"/>
  <c r="F144" i="24"/>
  <c r="G142" i="24"/>
  <c r="F142" i="24"/>
  <c r="G141" i="24"/>
  <c r="F141" i="24"/>
  <c r="G139" i="24"/>
  <c r="F139" i="24"/>
  <c r="G138" i="24"/>
  <c r="F138" i="24"/>
  <c r="G136" i="24"/>
  <c r="F136" i="24"/>
  <c r="G135" i="24"/>
  <c r="F135" i="24"/>
  <c r="BX51" i="2"/>
  <c r="BW51" i="2"/>
  <c r="BV51" i="2"/>
  <c r="J51" i="2"/>
  <c r="G51" i="2"/>
  <c r="F51" i="2"/>
  <c r="D51" i="2"/>
  <c r="B51" i="2"/>
  <c r="BX50" i="2"/>
  <c r="BW50" i="2"/>
  <c r="BV50" i="2"/>
  <c r="J50" i="2"/>
  <c r="G50" i="2"/>
  <c r="F50" i="2"/>
  <c r="D50" i="2"/>
  <c r="B50" i="2"/>
  <c r="BX49" i="2"/>
  <c r="BW49" i="2"/>
  <c r="BV49" i="2"/>
  <c r="J49" i="2"/>
  <c r="G49" i="2"/>
  <c r="F49" i="2"/>
  <c r="D49" i="2"/>
  <c r="B49" i="2"/>
  <c r="BX48" i="2"/>
  <c r="BW48" i="2"/>
  <c r="BV48" i="2"/>
  <c r="J48" i="2"/>
  <c r="G48" i="2"/>
  <c r="F48" i="2"/>
  <c r="D48" i="2"/>
  <c r="B48" i="2"/>
  <c r="AN18" i="5"/>
  <c r="AN26" i="5"/>
  <c r="AN11" i="5"/>
  <c r="AN7" i="5"/>
  <c r="AI31" i="5"/>
  <c r="AI11" i="5"/>
  <c r="AI14" i="5"/>
  <c r="AI36" i="5"/>
  <c r="AE151" i="5"/>
  <c r="W151" i="5"/>
  <c r="U151" i="5"/>
  <c r="AE150" i="5"/>
  <c r="W150" i="5"/>
  <c r="U150" i="5"/>
  <c r="AE149" i="5"/>
  <c r="W149" i="5"/>
  <c r="U149" i="5"/>
  <c r="AE148" i="5"/>
  <c r="W148" i="5"/>
  <c r="U148" i="5"/>
  <c r="AE147" i="5"/>
  <c r="W147" i="5"/>
  <c r="U147" i="5"/>
  <c r="AE146" i="5"/>
  <c r="W146" i="5"/>
  <c r="U146" i="5"/>
  <c r="AE145" i="5"/>
  <c r="W145" i="5"/>
  <c r="U145" i="5"/>
  <c r="AE144" i="5"/>
  <c r="W144" i="5"/>
  <c r="U144" i="5"/>
  <c r="AE143" i="5"/>
  <c r="W143" i="5"/>
  <c r="U143" i="5"/>
  <c r="AE142" i="5"/>
  <c r="W142" i="5"/>
  <c r="U142" i="5"/>
  <c r="AE141" i="5"/>
  <c r="W141" i="5"/>
  <c r="U141" i="5"/>
  <c r="AE140" i="5"/>
  <c r="W140" i="5"/>
  <c r="U140" i="5"/>
  <c r="E151" i="5"/>
  <c r="E150" i="5"/>
  <c r="E149" i="5"/>
  <c r="E148" i="5"/>
  <c r="E147" i="5"/>
  <c r="E146" i="5"/>
  <c r="E145" i="5"/>
  <c r="E144" i="5"/>
  <c r="E143" i="5"/>
  <c r="E142" i="5"/>
  <c r="E141" i="5"/>
  <c r="E140" i="5"/>
  <c r="B149" i="1"/>
  <c r="A149" i="5" s="1"/>
  <c r="A149" i="24" s="1"/>
  <c r="B146" i="1"/>
  <c r="A146" i="5" s="1"/>
  <c r="A146" i="24" s="1"/>
  <c r="B143" i="1"/>
  <c r="A143" i="5" s="1"/>
  <c r="A143" i="24" s="1"/>
  <c r="B140" i="1"/>
  <c r="A140" i="5" s="1"/>
  <c r="A140" i="24" s="1"/>
  <c r="AJ51" i="1"/>
  <c r="AJ50" i="1"/>
  <c r="AJ49" i="1"/>
  <c r="AJ48" i="1"/>
  <c r="I51" i="1"/>
  <c r="I50" i="1"/>
  <c r="I49" i="1"/>
  <c r="I48" i="1"/>
  <c r="O51" i="22"/>
  <c r="M51" i="22"/>
  <c r="L43" i="22"/>
  <c r="K43" i="22"/>
  <c r="J43" i="22"/>
  <c r="I43" i="22"/>
  <c r="O50" i="22"/>
  <c r="M50" i="22"/>
  <c r="L34" i="22"/>
  <c r="K34" i="22"/>
  <c r="O49" i="22"/>
  <c r="M49" i="22"/>
  <c r="L47" i="22"/>
  <c r="K47" i="22"/>
  <c r="O48" i="22"/>
  <c r="M48" i="22"/>
  <c r="L35" i="22"/>
  <c r="K35" i="22"/>
  <c r="O47" i="22"/>
  <c r="M47" i="22"/>
  <c r="L42" i="22"/>
  <c r="K42" i="22"/>
  <c r="O46" i="22"/>
  <c r="M46" i="22"/>
  <c r="L41" i="22"/>
  <c r="K41" i="22"/>
  <c r="BU53" i="2"/>
  <c r="BR53" i="2"/>
  <c r="BO53" i="2"/>
  <c r="BL53" i="2"/>
  <c r="BI53" i="2"/>
  <c r="BF53" i="2"/>
  <c r="BC53" i="2"/>
  <c r="AZ53" i="2"/>
  <c r="AW53" i="2"/>
  <c r="AT53" i="2"/>
  <c r="AQ53" i="2"/>
  <c r="AN53" i="2"/>
  <c r="AK53" i="2"/>
  <c r="AH53" i="2"/>
  <c r="AE53" i="2"/>
  <c r="B144" i="24" l="1"/>
  <c r="C144" i="1"/>
  <c r="B151" i="24"/>
  <c r="C151" i="1"/>
  <c r="B148" i="24"/>
  <c r="C148" i="1"/>
  <c r="B147" i="24"/>
  <c r="C147" i="1"/>
  <c r="B146" i="24"/>
  <c r="C146" i="1"/>
  <c r="B145" i="24"/>
  <c r="C145" i="1"/>
  <c r="B149" i="24"/>
  <c r="C149" i="1"/>
  <c r="B150" i="24"/>
  <c r="C150" i="1"/>
  <c r="C143" i="1"/>
  <c r="B143" i="24"/>
  <c r="C142" i="1"/>
  <c r="B142" i="24"/>
  <c r="C141" i="1"/>
  <c r="B141" i="24"/>
  <c r="C140" i="1"/>
  <c r="B140" i="24"/>
  <c r="A151" i="5"/>
  <c r="A150" i="5"/>
  <c r="B149" i="5"/>
  <c r="C149" i="5"/>
  <c r="A148" i="5"/>
  <c r="A147" i="5"/>
  <c r="C146" i="5"/>
  <c r="B146" i="5"/>
  <c r="A145" i="5"/>
  <c r="A144" i="5"/>
  <c r="B143" i="5"/>
  <c r="C143" i="5"/>
  <c r="D143" i="5"/>
  <c r="A142" i="5"/>
  <c r="A141" i="5"/>
  <c r="B140" i="5"/>
  <c r="C140" i="5"/>
  <c r="P47" i="7"/>
  <c r="P46" i="7"/>
  <c r="P45" i="7"/>
  <c r="P44" i="7"/>
  <c r="P43" i="7"/>
  <c r="P42" i="7"/>
  <c r="P41" i="7"/>
  <c r="P40" i="7"/>
  <c r="P39" i="7"/>
  <c r="P38" i="7"/>
  <c r="P37" i="7"/>
  <c r="P36" i="7"/>
  <c r="P35" i="7"/>
  <c r="P34" i="7"/>
  <c r="P33" i="7"/>
  <c r="P32" i="7"/>
  <c r="P31" i="7"/>
  <c r="P30" i="7"/>
  <c r="P29" i="7"/>
  <c r="P28" i="7"/>
  <c r="P27" i="7"/>
  <c r="P26" i="7"/>
  <c r="P25" i="7"/>
  <c r="P24" i="7"/>
  <c r="P23" i="7"/>
  <c r="P22" i="7"/>
  <c r="P21" i="7"/>
  <c r="P20" i="7"/>
  <c r="P19" i="7"/>
  <c r="P18" i="7"/>
  <c r="P17" i="7"/>
  <c r="P16" i="7"/>
  <c r="P15" i="7"/>
  <c r="P14" i="7"/>
  <c r="P13" i="7"/>
  <c r="P12" i="7"/>
  <c r="P11" i="7"/>
  <c r="P10" i="7"/>
  <c r="P9" i="7"/>
  <c r="P8" i="7"/>
  <c r="P7" i="7"/>
  <c r="P6" i="7"/>
  <c r="P5" i="7"/>
  <c r="P4" i="7"/>
  <c r="P3" i="7"/>
  <c r="P2" i="7"/>
  <c r="AA10" i="25" l="1"/>
  <c r="AA9" i="25"/>
  <c r="AA8" i="25"/>
  <c r="AA7" i="25"/>
  <c r="AA6" i="25"/>
  <c r="AA5" i="25"/>
  <c r="AA4" i="25"/>
  <c r="AA3" i="25"/>
  <c r="J32" i="25"/>
  <c r="J31" i="25"/>
  <c r="X38" i="13"/>
  <c r="E77" i="5"/>
  <c r="E134" i="5"/>
  <c r="B134" i="24" s="1"/>
  <c r="Q30" i="34" l="1"/>
  <c r="N30" i="34"/>
  <c r="M30" i="34"/>
  <c r="K30" i="34"/>
  <c r="S20" i="34"/>
  <c r="S19" i="34"/>
  <c r="AN38" i="5" l="1"/>
  <c r="AI23" i="5"/>
  <c r="BX47" i="2"/>
  <c r="BW47" i="2"/>
  <c r="BV47" i="2"/>
  <c r="J47" i="2"/>
  <c r="G47" i="2"/>
  <c r="F47" i="2"/>
  <c r="D47" i="2"/>
  <c r="B47" i="2"/>
  <c r="L46" i="22"/>
  <c r="K46" i="22"/>
  <c r="AJ47" i="1"/>
  <c r="B137" i="1"/>
  <c r="A137" i="5"/>
  <c r="A137" i="24" s="1"/>
  <c r="I47" i="1"/>
  <c r="E139" i="5"/>
  <c r="E138" i="5"/>
  <c r="E137" i="5"/>
  <c r="E35" i="5"/>
  <c r="AN30" i="5"/>
  <c r="AI20" i="5"/>
  <c r="E136" i="5"/>
  <c r="E135" i="5"/>
  <c r="C134" i="1"/>
  <c r="AJ46" i="1"/>
  <c r="I46" i="1"/>
  <c r="B134" i="1"/>
  <c r="A134" i="5" s="1"/>
  <c r="BX46" i="2"/>
  <c r="BW46" i="2"/>
  <c r="BV46" i="2"/>
  <c r="J46" i="2"/>
  <c r="G46" i="2"/>
  <c r="F46" i="2"/>
  <c r="D46" i="2"/>
  <c r="B46" i="2"/>
  <c r="L36" i="22"/>
  <c r="K36" i="22"/>
  <c r="A136" i="5" l="1"/>
  <c r="AF136" i="5" s="1"/>
  <c r="A134" i="24"/>
  <c r="C139" i="1"/>
  <c r="B139" i="24"/>
  <c r="C138" i="1"/>
  <c r="B138" i="24"/>
  <c r="C137" i="1"/>
  <c r="B137" i="24"/>
  <c r="C136" i="1"/>
  <c r="B136" i="24"/>
  <c r="C135" i="1"/>
  <c r="B135" i="24"/>
  <c r="C134" i="5"/>
  <c r="B134" i="5"/>
  <c r="C137" i="5"/>
  <c r="B137" i="5"/>
  <c r="A138" i="5"/>
  <c r="A139" i="5"/>
  <c r="AF134" i="5"/>
  <c r="A135" i="5"/>
  <c r="AF135" i="5" s="1"/>
  <c r="S65" i="13" l="1"/>
  <c r="S63" i="13"/>
  <c r="S61" i="13"/>
  <c r="S59" i="13"/>
  <c r="S57" i="13"/>
  <c r="S55" i="13"/>
  <c r="S53" i="13"/>
  <c r="S51" i="13"/>
  <c r="S49" i="13"/>
  <c r="S47" i="13"/>
  <c r="S45" i="13"/>
  <c r="S43" i="13"/>
  <c r="S41" i="13"/>
  <c r="S39" i="13"/>
  <c r="J3" i="2" l="1"/>
  <c r="J4" i="2"/>
  <c r="J5" i="2"/>
  <c r="J6" i="2"/>
  <c r="J7" i="2"/>
  <c r="J8" i="2"/>
  <c r="J9" i="2"/>
  <c r="J10" i="2"/>
  <c r="J11" i="2"/>
  <c r="J12" i="2"/>
  <c r="J13" i="2"/>
  <c r="J14" i="2"/>
  <c r="J15" i="2"/>
  <c r="J16" i="2"/>
  <c r="J17" i="2"/>
  <c r="J18" i="2"/>
  <c r="J19" i="2"/>
  <c r="J20" i="2"/>
  <c r="J21" i="2"/>
  <c r="J22" i="2"/>
  <c r="J23" i="2"/>
  <c r="J24" i="2"/>
  <c r="J25" i="2"/>
  <c r="J26" i="2"/>
  <c r="J27" i="2"/>
  <c r="J28" i="2"/>
  <c r="J29" i="2"/>
  <c r="J30" i="2"/>
  <c r="J31" i="2"/>
  <c r="J32" i="2"/>
  <c r="J33" i="2"/>
  <c r="J34" i="2"/>
  <c r="J35" i="2"/>
  <c r="J36" i="2"/>
  <c r="J37" i="2"/>
  <c r="J38" i="2"/>
  <c r="J39" i="2"/>
  <c r="J40" i="2"/>
  <c r="J41" i="2"/>
  <c r="J42" i="2"/>
  <c r="J43" i="2"/>
  <c r="J44" i="2"/>
  <c r="J45" i="2"/>
  <c r="B15" i="23"/>
  <c r="J39" i="25"/>
  <c r="J38" i="25"/>
  <c r="J37" i="25"/>
  <c r="J36" i="25"/>
  <c r="I43" i="25"/>
  <c r="I42" i="25"/>
  <c r="I41" i="25"/>
  <c r="I40" i="25"/>
  <c r="I39" i="25"/>
  <c r="I38" i="25"/>
  <c r="I37" i="25"/>
  <c r="I66" i="25"/>
  <c r="I65" i="25"/>
  <c r="I64" i="25"/>
  <c r="I63" i="25"/>
  <c r="I62" i="25"/>
  <c r="I61" i="25"/>
  <c r="I60" i="25"/>
  <c r="I59" i="25"/>
  <c r="I58" i="25"/>
  <c r="I57" i="25"/>
  <c r="I56" i="25"/>
  <c r="I55" i="25"/>
  <c r="I54" i="25"/>
  <c r="I53" i="25"/>
  <c r="I52" i="25"/>
  <c r="I51" i="25"/>
  <c r="I50" i="25"/>
  <c r="I49" i="25"/>
  <c r="I48" i="25"/>
  <c r="I47" i="25"/>
  <c r="I46" i="25"/>
  <c r="I45" i="25"/>
  <c r="I44" i="25"/>
  <c r="N49" i="22" l="1"/>
  <c r="N51" i="22"/>
  <c r="N50" i="22"/>
  <c r="N48" i="22"/>
  <c r="N46" i="22"/>
  <c r="T22" i="25"/>
  <c r="N38" i="25"/>
  <c r="B2" i="13" l="1"/>
  <c r="J38" i="6"/>
  <c r="I38" i="6"/>
  <c r="H38" i="6"/>
  <c r="I31" i="6"/>
  <c r="H31" i="6"/>
  <c r="I24" i="6"/>
  <c r="J17" i="6"/>
  <c r="H10" i="6"/>
  <c r="K10" i="6" s="1"/>
  <c r="T1" i="22" l="1"/>
  <c r="M2" i="48"/>
  <c r="E11" i="5"/>
  <c r="E12" i="5"/>
  <c r="E38" i="5" l="1"/>
  <c r="E39" i="5"/>
  <c r="K24" i="9"/>
  <c r="I24" i="9"/>
  <c r="G24" i="9"/>
  <c r="K23" i="9"/>
  <c r="I23" i="9"/>
  <c r="G23" i="9"/>
  <c r="K22" i="9"/>
  <c r="I22" i="9"/>
  <c r="G22" i="9"/>
  <c r="K21" i="9"/>
  <c r="I21" i="9"/>
  <c r="G21" i="9"/>
  <c r="K20" i="9"/>
  <c r="I20" i="9"/>
  <c r="G20" i="9"/>
  <c r="K19" i="9"/>
  <c r="I19" i="9"/>
  <c r="G19" i="9"/>
  <c r="K18" i="9"/>
  <c r="I18" i="9"/>
  <c r="G18" i="9"/>
  <c r="K17" i="9"/>
  <c r="I17" i="9"/>
  <c r="G17" i="9"/>
  <c r="K16" i="9"/>
  <c r="I16" i="9"/>
  <c r="G16" i="9"/>
  <c r="K15" i="9"/>
  <c r="I15" i="9"/>
  <c r="G15" i="9"/>
  <c r="K14" i="9"/>
  <c r="I14" i="9"/>
  <c r="G14" i="9"/>
  <c r="K13" i="9"/>
  <c r="I13" i="9"/>
  <c r="G13" i="9"/>
  <c r="K12" i="9"/>
  <c r="I12" i="9"/>
  <c r="G12" i="9"/>
  <c r="K11" i="9"/>
  <c r="I11" i="9"/>
  <c r="G11" i="9"/>
  <c r="K10" i="9"/>
  <c r="I10" i="9"/>
  <c r="G10" i="9"/>
  <c r="K9" i="9"/>
  <c r="I9" i="9"/>
  <c r="G9" i="9"/>
  <c r="K8" i="9"/>
  <c r="I8" i="9"/>
  <c r="G8" i="9"/>
  <c r="K7" i="9"/>
  <c r="I7" i="9"/>
  <c r="G7" i="9"/>
  <c r="K6" i="9"/>
  <c r="I6" i="9"/>
  <c r="G6" i="9"/>
  <c r="K5" i="9"/>
  <c r="I5" i="9"/>
  <c r="G5" i="9"/>
  <c r="K134" i="3"/>
  <c r="K135" i="3"/>
  <c r="K136" i="3"/>
  <c r="K137" i="3"/>
  <c r="K138" i="3"/>
  <c r="A1" i="23"/>
  <c r="E130" i="5" l="1"/>
  <c r="AU1" i="13"/>
  <c r="AK2" i="25" s="1"/>
  <c r="AO1" i="13"/>
  <c r="AF2" i="25" s="1"/>
  <c r="AI1" i="13"/>
  <c r="AA2" i="25" s="1"/>
  <c r="AC1" i="13"/>
  <c r="V2" i="25" s="1"/>
  <c r="W1" i="13"/>
  <c r="P2" i="25" s="1"/>
  <c r="Q1" i="13"/>
  <c r="J2" i="25" s="1"/>
  <c r="I8" i="1" l="1"/>
  <c r="B1" i="23"/>
  <c r="AF6" i="25" l="1"/>
  <c r="AF5" i="25"/>
  <c r="AF4" i="25"/>
  <c r="AF3" i="25"/>
  <c r="Q34" i="25"/>
  <c r="P34" i="25"/>
  <c r="P33" i="25"/>
  <c r="Q32" i="25"/>
  <c r="P32" i="25"/>
  <c r="P31" i="25"/>
  <c r="Q30" i="25"/>
  <c r="P30" i="25"/>
  <c r="P29" i="25"/>
  <c r="Q28" i="25"/>
  <c r="P28" i="25"/>
  <c r="P27" i="25"/>
  <c r="Q26" i="25"/>
  <c r="P26" i="25"/>
  <c r="P25" i="25"/>
  <c r="Q24" i="25"/>
  <c r="P24" i="25"/>
  <c r="P23" i="25"/>
  <c r="Q22" i="25"/>
  <c r="P22" i="25"/>
  <c r="P21" i="25"/>
  <c r="Q20" i="25"/>
  <c r="P20" i="25"/>
  <c r="P19" i="25"/>
  <c r="Q18" i="25"/>
  <c r="P18" i="25"/>
  <c r="P17" i="25"/>
  <c r="Q16" i="25"/>
  <c r="P16" i="25"/>
  <c r="P15" i="25"/>
  <c r="Q14" i="25"/>
  <c r="P14" i="25"/>
  <c r="P13" i="25"/>
  <c r="Q12" i="25"/>
  <c r="P12" i="25"/>
  <c r="P11" i="25"/>
  <c r="Q10" i="25"/>
  <c r="P10" i="25"/>
  <c r="P9" i="25"/>
  <c r="Q8" i="25"/>
  <c r="P8" i="25"/>
  <c r="P7" i="25"/>
  <c r="Q6" i="25"/>
  <c r="P6" i="25"/>
  <c r="P5" i="25"/>
  <c r="Q4" i="25"/>
  <c r="P4" i="25"/>
  <c r="P3" i="25"/>
  <c r="O40" i="25"/>
  <c r="E40" i="5"/>
  <c r="O39" i="25"/>
  <c r="P39" i="25"/>
  <c r="P40" i="25"/>
  <c r="AJ45" i="1"/>
  <c r="AJ44" i="1"/>
  <c r="AJ43" i="1"/>
  <c r="AJ42" i="1"/>
  <c r="AJ41" i="1"/>
  <c r="AJ40" i="1"/>
  <c r="AJ39" i="1"/>
  <c r="AJ38" i="1"/>
  <c r="AJ37" i="1"/>
  <c r="AJ36" i="1"/>
  <c r="AJ35" i="1"/>
  <c r="AJ34" i="1"/>
  <c r="AJ33" i="1"/>
  <c r="AJ32" i="1"/>
  <c r="AJ31" i="1"/>
  <c r="AJ30" i="1"/>
  <c r="AJ29" i="1"/>
  <c r="AJ28" i="1"/>
  <c r="AJ27" i="1"/>
  <c r="AJ26" i="1"/>
  <c r="AJ25" i="1"/>
  <c r="AJ24" i="1"/>
  <c r="AJ23" i="1"/>
  <c r="AJ22" i="1"/>
  <c r="AJ21" i="1"/>
  <c r="AJ20" i="1"/>
  <c r="AJ19" i="1"/>
  <c r="AJ18" i="1"/>
  <c r="AJ17" i="1"/>
  <c r="AJ16" i="1"/>
  <c r="AJ15" i="1"/>
  <c r="AJ14" i="1"/>
  <c r="AJ13" i="1"/>
  <c r="AJ12" i="1"/>
  <c r="AJ11" i="1"/>
  <c r="AJ10" i="1"/>
  <c r="AJ9" i="1"/>
  <c r="AJ8" i="1"/>
  <c r="AJ7" i="1"/>
  <c r="AJ6" i="1"/>
  <c r="AJ5" i="1"/>
  <c r="AJ4" i="1"/>
  <c r="AJ3" i="1"/>
  <c r="D45" i="2"/>
  <c r="D44" i="2"/>
  <c r="D43" i="2"/>
  <c r="D42" i="2"/>
  <c r="D41" i="2"/>
  <c r="D40" i="2"/>
  <c r="D39" i="2"/>
  <c r="D38" i="2"/>
  <c r="D37" i="2"/>
  <c r="D36" i="2"/>
  <c r="D35" i="2"/>
  <c r="D34" i="2"/>
  <c r="D33" i="2"/>
  <c r="D32" i="2"/>
  <c r="D31" i="2"/>
  <c r="D30" i="2"/>
  <c r="D29" i="2"/>
  <c r="D28" i="2"/>
  <c r="D27" i="2"/>
  <c r="D26" i="2"/>
  <c r="D25" i="2"/>
  <c r="D24" i="2"/>
  <c r="D23" i="2"/>
  <c r="D22" i="2"/>
  <c r="D21" i="2"/>
  <c r="D20" i="2"/>
  <c r="D19" i="2"/>
  <c r="D18" i="2"/>
  <c r="D17" i="2"/>
  <c r="D16" i="2"/>
  <c r="D15" i="2"/>
  <c r="D14" i="2"/>
  <c r="D13" i="2"/>
  <c r="D12" i="2"/>
  <c r="D11" i="2"/>
  <c r="D10" i="2"/>
  <c r="D9" i="2"/>
  <c r="D8" i="2"/>
  <c r="D7" i="2"/>
  <c r="D6" i="2"/>
  <c r="D5" i="2"/>
  <c r="D4" i="2"/>
  <c r="D3" i="2"/>
  <c r="D2" i="2"/>
  <c r="AN25" i="5" l="1"/>
  <c r="AI12" i="5"/>
  <c r="AI37" i="5"/>
  <c r="B3" i="9" l="1"/>
  <c r="K41" i="6" l="1"/>
  <c r="K34" i="6"/>
  <c r="B13" i="6"/>
  <c r="B20" i="6" s="1"/>
  <c r="B27" i="6" s="1"/>
  <c r="B34" i="6" s="1"/>
  <c r="B41" i="6" s="1"/>
  <c r="B12" i="6"/>
  <c r="B19" i="6" s="1"/>
  <c r="B26" i="6" s="1"/>
  <c r="B33" i="6" s="1"/>
  <c r="B40" i="6" s="1"/>
  <c r="B11" i="6"/>
  <c r="B18" i="6" s="1"/>
  <c r="B25" i="6" s="1"/>
  <c r="B32" i="6" s="1"/>
  <c r="B39" i="6" s="1"/>
  <c r="E7" i="6"/>
  <c r="E120" i="5"/>
  <c r="I45" i="1"/>
  <c r="I44" i="1"/>
  <c r="I43" i="1"/>
  <c r="I42" i="1"/>
  <c r="I41" i="1"/>
  <c r="I40" i="1"/>
  <c r="I39" i="1"/>
  <c r="I38" i="1"/>
  <c r="I37" i="1"/>
  <c r="I36" i="1"/>
  <c r="I35" i="1"/>
  <c r="I34" i="1"/>
  <c r="I33" i="1"/>
  <c r="I32" i="1"/>
  <c r="I31" i="1"/>
  <c r="I30" i="1"/>
  <c r="I29" i="1"/>
  <c r="I28" i="1"/>
  <c r="I27" i="1"/>
  <c r="I26" i="1"/>
  <c r="I25" i="1"/>
  <c r="I24" i="1"/>
  <c r="I23" i="1"/>
  <c r="I22" i="1"/>
  <c r="I21" i="1"/>
  <c r="I20" i="1"/>
  <c r="I19" i="1"/>
  <c r="I18" i="1"/>
  <c r="I17" i="1"/>
  <c r="I16" i="1"/>
  <c r="I15" i="1"/>
  <c r="I14" i="1"/>
  <c r="I13" i="1"/>
  <c r="I12" i="1"/>
  <c r="I11" i="1"/>
  <c r="I10" i="1"/>
  <c r="I9" i="1"/>
  <c r="I7" i="1"/>
  <c r="I6" i="1"/>
  <c r="I5" i="1"/>
  <c r="I4" i="1"/>
  <c r="I3" i="1"/>
  <c r="I2" i="1"/>
  <c r="AQ20" i="34"/>
  <c r="AQ19" i="34"/>
  <c r="AQ4" i="34"/>
  <c r="AP4" i="34"/>
  <c r="AO4" i="34"/>
  <c r="AN4" i="34"/>
  <c r="AB1" i="13" l="1"/>
  <c r="E105" i="5" l="1"/>
  <c r="E106" i="5"/>
  <c r="AT1" i="13"/>
  <c r="AN1" i="13"/>
  <c r="V1" i="13"/>
  <c r="P1" i="13"/>
  <c r="B2" i="25"/>
  <c r="J1" i="13"/>
  <c r="I1" i="13"/>
  <c r="C20" i="13"/>
  <c r="AS1" i="13" s="1"/>
  <c r="C19" i="13"/>
  <c r="AM1" i="13" s="1"/>
  <c r="C18" i="13"/>
  <c r="AG1" i="13" s="1"/>
  <c r="C17" i="13"/>
  <c r="AA1" i="13" s="1"/>
  <c r="C16" i="13"/>
  <c r="U1" i="13" s="1"/>
  <c r="C15" i="13"/>
  <c r="O1" i="13" s="1"/>
  <c r="C14" i="13"/>
  <c r="K139" i="3" l="1"/>
  <c r="L41" i="6" l="1"/>
  <c r="B131" i="1"/>
  <c r="B128" i="1"/>
  <c r="B125" i="1"/>
  <c r="A125" i="5" s="1"/>
  <c r="B122" i="1"/>
  <c r="B119" i="1"/>
  <c r="B116" i="1"/>
  <c r="B113" i="1"/>
  <c r="B110" i="1"/>
  <c r="B107" i="1"/>
  <c r="B104" i="1"/>
  <c r="B101" i="1"/>
  <c r="B98" i="1"/>
  <c r="B95" i="1"/>
  <c r="B92" i="1"/>
  <c r="B89" i="1"/>
  <c r="B86" i="1"/>
  <c r="A86" i="5" s="1"/>
  <c r="B83" i="1"/>
  <c r="B80" i="1"/>
  <c r="B77" i="1"/>
  <c r="B74" i="1"/>
  <c r="B71" i="1"/>
  <c r="B68" i="1"/>
  <c r="B65" i="1"/>
  <c r="B62" i="1"/>
  <c r="B59" i="1"/>
  <c r="B56" i="1"/>
  <c r="B53" i="1"/>
  <c r="B50" i="1"/>
  <c r="B47" i="1"/>
  <c r="B44" i="1"/>
  <c r="B41" i="1"/>
  <c r="B38" i="1"/>
  <c r="A38" i="5" s="1"/>
  <c r="B35" i="1"/>
  <c r="B32" i="1"/>
  <c r="B29" i="1"/>
  <c r="B26" i="1"/>
  <c r="B23" i="1"/>
  <c r="A23" i="5" s="1"/>
  <c r="B20" i="1"/>
  <c r="B14" i="1"/>
  <c r="B17" i="1"/>
  <c r="B23" i="5" l="1"/>
  <c r="C23" i="5"/>
  <c r="C38" i="5"/>
  <c r="B38" i="5"/>
  <c r="C125" i="5"/>
  <c r="B125" i="5"/>
  <c r="C86" i="5"/>
  <c r="B86" i="5"/>
  <c r="AF86" i="5"/>
  <c r="AF125" i="5"/>
  <c r="AC60" i="7"/>
  <c r="AB60" i="7"/>
  <c r="AA60" i="7"/>
  <c r="Z60" i="7"/>
  <c r="Y60" i="7"/>
  <c r="X60" i="7"/>
  <c r="T60" i="7"/>
  <c r="S60" i="7"/>
  <c r="R60" i="7"/>
  <c r="Q60" i="7"/>
  <c r="AC59" i="7"/>
  <c r="AB59" i="7"/>
  <c r="AA59" i="7"/>
  <c r="Z59" i="7"/>
  <c r="Y59" i="7"/>
  <c r="X59" i="7"/>
  <c r="T59" i="7"/>
  <c r="S59" i="7"/>
  <c r="R59" i="7"/>
  <c r="Q59" i="7"/>
  <c r="AC58" i="7"/>
  <c r="AB58" i="7"/>
  <c r="AA58" i="7"/>
  <c r="Z58" i="7"/>
  <c r="Y58" i="7"/>
  <c r="X58" i="7"/>
  <c r="T58" i="7"/>
  <c r="S58" i="7"/>
  <c r="R58" i="7"/>
  <c r="Q58" i="7"/>
  <c r="AC57" i="7"/>
  <c r="AB57" i="7"/>
  <c r="AA57" i="7"/>
  <c r="Z57" i="7"/>
  <c r="Y57" i="7"/>
  <c r="X57" i="7"/>
  <c r="T57" i="7"/>
  <c r="S57" i="7"/>
  <c r="R57" i="7"/>
  <c r="Q57" i="7"/>
  <c r="AC56" i="7"/>
  <c r="AB56" i="7"/>
  <c r="AA56" i="7"/>
  <c r="Z56" i="7"/>
  <c r="Y56" i="7"/>
  <c r="X56" i="7"/>
  <c r="T56" i="7"/>
  <c r="S56" i="7"/>
  <c r="R56" i="7"/>
  <c r="Q56" i="7"/>
  <c r="AC55" i="7"/>
  <c r="AB55" i="7"/>
  <c r="AA55" i="7"/>
  <c r="Z55" i="7"/>
  <c r="Y55" i="7"/>
  <c r="X55" i="7"/>
  <c r="T55" i="7"/>
  <c r="S55" i="7"/>
  <c r="R55" i="7"/>
  <c r="Q55" i="7"/>
  <c r="AC54" i="7"/>
  <c r="AB54" i="7"/>
  <c r="AA54" i="7"/>
  <c r="Z54" i="7"/>
  <c r="Y54" i="7"/>
  <c r="X54" i="7"/>
  <c r="T54" i="7"/>
  <c r="S54" i="7"/>
  <c r="R54" i="7"/>
  <c r="Q54" i="7"/>
  <c r="AC53" i="7"/>
  <c r="AB53" i="7"/>
  <c r="AA53" i="7"/>
  <c r="Z53" i="7"/>
  <c r="Y53" i="7"/>
  <c r="X53" i="7"/>
  <c r="T53" i="7"/>
  <c r="S53" i="7"/>
  <c r="R53" i="7"/>
  <c r="Q53" i="7"/>
  <c r="AC52" i="7"/>
  <c r="AB52" i="7"/>
  <c r="AA52" i="7"/>
  <c r="Z52" i="7"/>
  <c r="Y52" i="7"/>
  <c r="X52" i="7"/>
  <c r="T52" i="7"/>
  <c r="S52" i="7"/>
  <c r="R52" i="7"/>
  <c r="Q52" i="7"/>
  <c r="AC51" i="7"/>
  <c r="AB51" i="7"/>
  <c r="AA51" i="7"/>
  <c r="Z51" i="7"/>
  <c r="Y51" i="7"/>
  <c r="X51" i="7"/>
  <c r="T51" i="7"/>
  <c r="S51" i="7"/>
  <c r="R51" i="7"/>
  <c r="Q51" i="7"/>
  <c r="AC50" i="7"/>
  <c r="AB50" i="7"/>
  <c r="AA50" i="7"/>
  <c r="Z50" i="7"/>
  <c r="Y50" i="7"/>
  <c r="X50" i="7"/>
  <c r="T50" i="7"/>
  <c r="S50" i="7"/>
  <c r="R50" i="7"/>
  <c r="Q50" i="7"/>
  <c r="AC49" i="7"/>
  <c r="AB49" i="7"/>
  <c r="AA49" i="7"/>
  <c r="Z49" i="7"/>
  <c r="Y49" i="7"/>
  <c r="X49" i="7"/>
  <c r="T49" i="7"/>
  <c r="S49" i="7"/>
  <c r="R49" i="7"/>
  <c r="Q49" i="7"/>
  <c r="AC48" i="7"/>
  <c r="AB48" i="7"/>
  <c r="AA48" i="7"/>
  <c r="Z48" i="7"/>
  <c r="Y48" i="7"/>
  <c r="X48" i="7"/>
  <c r="T48" i="7"/>
  <c r="S48" i="7"/>
  <c r="R48" i="7"/>
  <c r="Q48" i="7"/>
  <c r="U80" i="7"/>
  <c r="U79" i="7"/>
  <c r="U78" i="7"/>
  <c r="U77" i="7"/>
  <c r="U76" i="7"/>
  <c r="U75" i="7"/>
  <c r="U74" i="7"/>
  <c r="U73" i="7"/>
  <c r="U72" i="7"/>
  <c r="U71" i="7"/>
  <c r="U70" i="7"/>
  <c r="U69" i="7"/>
  <c r="U68" i="7"/>
  <c r="U67" i="7"/>
  <c r="U66" i="7"/>
  <c r="U65" i="7"/>
  <c r="U64" i="7"/>
  <c r="U63" i="7"/>
  <c r="U62" i="7"/>
  <c r="U61" i="7"/>
  <c r="W56" i="7" l="1"/>
  <c r="V49" i="7"/>
  <c r="W49" i="7"/>
  <c r="U49" i="7" s="1"/>
  <c r="V59" i="7"/>
  <c r="W50" i="7"/>
  <c r="W58" i="7"/>
  <c r="V52" i="7"/>
  <c r="W51" i="7"/>
  <c r="U51" i="7" s="1"/>
  <c r="W55" i="7"/>
  <c r="U55" i="7" s="1"/>
  <c r="W57" i="7"/>
  <c r="U57" i="7" s="1"/>
  <c r="V58" i="7"/>
  <c r="V60" i="7"/>
  <c r="V48" i="7"/>
  <c r="V55" i="7"/>
  <c r="W48" i="7"/>
  <c r="U48" i="7" s="1"/>
  <c r="W53" i="7"/>
  <c r="U53" i="7" s="1"/>
  <c r="V54" i="7"/>
  <c r="W60" i="7"/>
  <c r="U60" i="7" s="1"/>
  <c r="W54" i="7"/>
  <c r="U54" i="7" s="1"/>
  <c r="V56" i="7"/>
  <c r="V53" i="7"/>
  <c r="V51" i="7"/>
  <c r="V57" i="7"/>
  <c r="V50" i="7"/>
  <c r="W52" i="7"/>
  <c r="U52" i="7" s="1"/>
  <c r="W59" i="7"/>
  <c r="U59" i="7" s="1"/>
  <c r="U58" i="7"/>
  <c r="U50" i="7"/>
  <c r="U56" i="7"/>
  <c r="AE2" i="25"/>
  <c r="I70" i="25" l="1"/>
  <c r="I71" i="25"/>
  <c r="H70" i="25"/>
  <c r="I72" i="25"/>
  <c r="L38" i="22"/>
  <c r="K38" i="22"/>
  <c r="BV2" i="2"/>
  <c r="BW2" i="2"/>
  <c r="BX2" i="2"/>
  <c r="BV3" i="2"/>
  <c r="BW3" i="2"/>
  <c r="BX3" i="2"/>
  <c r="BV4" i="2"/>
  <c r="BW4" i="2"/>
  <c r="BX4" i="2"/>
  <c r="BV5" i="2"/>
  <c r="BW5" i="2"/>
  <c r="BX5" i="2"/>
  <c r="BV6" i="2"/>
  <c r="BW6" i="2"/>
  <c r="BX6" i="2"/>
  <c r="BV7" i="2"/>
  <c r="BW7" i="2"/>
  <c r="BX7" i="2"/>
  <c r="BV8" i="2"/>
  <c r="BW8" i="2"/>
  <c r="BX8" i="2"/>
  <c r="BV9" i="2"/>
  <c r="BW9" i="2"/>
  <c r="BX9" i="2"/>
  <c r="BV10" i="2"/>
  <c r="BW10" i="2"/>
  <c r="BX10" i="2"/>
  <c r="BV11" i="2"/>
  <c r="BW11" i="2"/>
  <c r="BX11" i="2"/>
  <c r="BV12" i="2"/>
  <c r="BW12" i="2"/>
  <c r="BX12" i="2"/>
  <c r="BV13" i="2"/>
  <c r="BW13" i="2"/>
  <c r="BX13" i="2"/>
  <c r="BV14" i="2"/>
  <c r="BW14" i="2"/>
  <c r="BX14" i="2"/>
  <c r="BV15" i="2"/>
  <c r="BW15" i="2"/>
  <c r="BX15" i="2"/>
  <c r="BV16" i="2"/>
  <c r="BW16" i="2"/>
  <c r="BX16" i="2"/>
  <c r="BV17" i="2"/>
  <c r="BW17" i="2"/>
  <c r="BX17" i="2"/>
  <c r="BV18" i="2"/>
  <c r="BW18" i="2"/>
  <c r="BX18" i="2"/>
  <c r="BV19" i="2"/>
  <c r="BW19" i="2"/>
  <c r="BX19" i="2"/>
  <c r="BV20" i="2"/>
  <c r="BW20" i="2"/>
  <c r="BX20" i="2"/>
  <c r="BV21" i="2"/>
  <c r="BW21" i="2"/>
  <c r="BX21" i="2"/>
  <c r="BV22" i="2"/>
  <c r="BW22" i="2"/>
  <c r="BX22" i="2"/>
  <c r="BV23" i="2"/>
  <c r="BW23" i="2"/>
  <c r="BX23" i="2"/>
  <c r="BV24" i="2"/>
  <c r="BW24" i="2"/>
  <c r="BX24" i="2"/>
  <c r="BV25" i="2"/>
  <c r="BW25" i="2"/>
  <c r="BX25" i="2"/>
  <c r="BV26" i="2"/>
  <c r="BW26" i="2"/>
  <c r="BX26" i="2"/>
  <c r="BV27" i="2"/>
  <c r="BW27" i="2"/>
  <c r="BX27" i="2"/>
  <c r="BV28" i="2"/>
  <c r="BW28" i="2"/>
  <c r="BX28" i="2"/>
  <c r="BV29" i="2"/>
  <c r="BW29" i="2"/>
  <c r="BX29" i="2"/>
  <c r="BV30" i="2"/>
  <c r="BW30" i="2"/>
  <c r="BX30" i="2"/>
  <c r="BV31" i="2"/>
  <c r="BW31" i="2"/>
  <c r="BX31" i="2"/>
  <c r="BV32" i="2"/>
  <c r="BW32" i="2"/>
  <c r="BX32" i="2"/>
  <c r="BV33" i="2"/>
  <c r="BW33" i="2"/>
  <c r="BX33" i="2"/>
  <c r="BV34" i="2"/>
  <c r="BW34" i="2"/>
  <c r="BX34" i="2"/>
  <c r="BV35" i="2"/>
  <c r="BW35" i="2"/>
  <c r="BX35" i="2"/>
  <c r="BV36" i="2"/>
  <c r="BW36" i="2"/>
  <c r="BX36" i="2"/>
  <c r="BV37" i="2"/>
  <c r="BW37" i="2"/>
  <c r="BX37" i="2"/>
  <c r="BV38" i="2"/>
  <c r="BW38" i="2"/>
  <c r="BX38" i="2"/>
  <c r="BV39" i="2"/>
  <c r="BW39" i="2"/>
  <c r="BX39" i="2"/>
  <c r="BV40" i="2"/>
  <c r="BW40" i="2"/>
  <c r="BX40" i="2"/>
  <c r="BV41" i="2"/>
  <c r="BW41" i="2"/>
  <c r="BX41" i="2"/>
  <c r="BV42" i="2"/>
  <c r="BW42" i="2"/>
  <c r="BX42" i="2"/>
  <c r="BV43" i="2"/>
  <c r="BW43" i="2"/>
  <c r="BX43" i="2"/>
  <c r="BV44" i="2"/>
  <c r="BW44" i="2"/>
  <c r="BX44" i="2"/>
  <c r="BV45" i="2"/>
  <c r="BW45" i="2"/>
  <c r="BX45" i="2"/>
  <c r="AN21" i="5"/>
  <c r="AI15" i="5"/>
  <c r="AI18" i="5"/>
  <c r="B3" i="6"/>
  <c r="BX53" i="2" l="1"/>
  <c r="K6" i="6"/>
  <c r="E2" i="5" l="1"/>
  <c r="E3" i="5"/>
  <c r="E4" i="5"/>
  <c r="B1" i="6"/>
  <c r="AF12" i="25"/>
  <c r="AF11" i="25"/>
  <c r="AF10" i="25"/>
  <c r="AF9" i="25"/>
  <c r="AF7" i="25"/>
  <c r="E101" i="5" l="1"/>
  <c r="E102" i="5"/>
  <c r="E103" i="5"/>
  <c r="AD10" i="13" l="1"/>
  <c r="E108" i="5"/>
  <c r="E109" i="5"/>
  <c r="A31" i="23" l="1"/>
  <c r="E37" i="5"/>
  <c r="K45" i="3" l="1"/>
  <c r="K44" i="3"/>
  <c r="K89" i="3"/>
  <c r="K41" i="3"/>
  <c r="K40" i="3"/>
  <c r="K131" i="3"/>
  <c r="K38" i="3"/>
  <c r="K37" i="3"/>
  <c r="K82" i="3"/>
  <c r="K35" i="3"/>
  <c r="K34" i="3"/>
  <c r="K33" i="3"/>
  <c r="K32" i="3"/>
  <c r="K123" i="3"/>
  <c r="K122" i="3"/>
  <c r="K121" i="3"/>
  <c r="K74" i="3"/>
  <c r="K73" i="3"/>
  <c r="K26" i="3"/>
  <c r="K25" i="3"/>
  <c r="K24" i="3"/>
  <c r="K115" i="3"/>
  <c r="K22" i="3"/>
  <c r="K113" i="3"/>
  <c r="K66" i="3"/>
  <c r="K65" i="3"/>
  <c r="K64" i="3"/>
  <c r="K17" i="3"/>
  <c r="K16" i="3"/>
  <c r="K107" i="3"/>
  <c r="K106" i="3"/>
  <c r="K13" i="3"/>
  <c r="K58" i="3"/>
  <c r="K57" i="3"/>
  <c r="K56" i="3"/>
  <c r="K9" i="3"/>
  <c r="K8" i="3"/>
  <c r="K99" i="3"/>
  <c r="K6" i="3"/>
  <c r="K97" i="3"/>
  <c r="K50" i="3"/>
  <c r="K49" i="3"/>
  <c r="K94" i="3"/>
  <c r="K93" i="3" l="1"/>
  <c r="K47" i="3"/>
  <c r="K76" i="3"/>
  <c r="K90" i="3"/>
  <c r="K92" i="3"/>
  <c r="K91" i="3"/>
  <c r="K132" i="3"/>
  <c r="K46" i="3"/>
  <c r="K60" i="3"/>
  <c r="K124" i="3"/>
  <c r="K62" i="3"/>
  <c r="K75" i="3"/>
  <c r="K51" i="3"/>
  <c r="K63" i="3"/>
  <c r="K77" i="3"/>
  <c r="K133" i="3"/>
  <c r="K52" i="3"/>
  <c r="K67" i="3"/>
  <c r="K78" i="3"/>
  <c r="K53" i="3"/>
  <c r="K68" i="3"/>
  <c r="K85" i="3"/>
  <c r="K100" i="3"/>
  <c r="K43" i="3"/>
  <c r="K54" i="3"/>
  <c r="K69" i="3"/>
  <c r="K86" i="3"/>
  <c r="K101" i="3"/>
  <c r="K55" i="3"/>
  <c r="K70" i="3"/>
  <c r="K87" i="3"/>
  <c r="K109" i="3"/>
  <c r="K59" i="3"/>
  <c r="K71" i="3"/>
  <c r="K117" i="3"/>
  <c r="K84" i="3"/>
  <c r="K83" i="3"/>
  <c r="K79" i="3"/>
  <c r="K125" i="3"/>
  <c r="K120" i="3"/>
  <c r="K116" i="3"/>
  <c r="K108" i="3"/>
  <c r="K61" i="3"/>
  <c r="K18" i="3"/>
  <c r="K11" i="3"/>
  <c r="K10" i="3"/>
  <c r="K19" i="3"/>
  <c r="K36" i="3"/>
  <c r="K118" i="3"/>
  <c r="K95" i="3"/>
  <c r="K103" i="3"/>
  <c r="K111" i="3"/>
  <c r="K119" i="3"/>
  <c r="K127" i="3"/>
  <c r="K20" i="3"/>
  <c r="K110" i="3"/>
  <c r="K21" i="3"/>
  <c r="K42" i="3"/>
  <c r="K3" i="3"/>
  <c r="K27" i="3"/>
  <c r="K12" i="3"/>
  <c r="K28" i="3"/>
  <c r="K102" i="3"/>
  <c r="K126" i="3"/>
  <c r="K5" i="3"/>
  <c r="K29" i="3"/>
  <c r="K14" i="3"/>
  <c r="K30" i="3"/>
  <c r="K104" i="3"/>
  <c r="K23" i="3"/>
  <c r="K31" i="3"/>
  <c r="K72" i="3"/>
  <c r="K80" i="3"/>
  <c r="K88" i="3"/>
  <c r="K105" i="3"/>
  <c r="K129" i="3"/>
  <c r="K7" i="3"/>
  <c r="K81" i="3"/>
  <c r="K98" i="3"/>
  <c r="K114" i="3"/>
  <c r="K130" i="3"/>
  <c r="K4" i="3"/>
  <c r="K96" i="3"/>
  <c r="K112" i="3"/>
  <c r="K128" i="3"/>
  <c r="K15" i="3"/>
  <c r="K39" i="3"/>
  <c r="K48" i="3"/>
  <c r="K2" i="3"/>
  <c r="AB3" i="34" l="1"/>
  <c r="D3" i="34"/>
  <c r="AE229" i="5" l="1"/>
  <c r="AE228" i="5"/>
  <c r="AE227" i="5"/>
  <c r="AE226" i="5"/>
  <c r="AE225" i="5"/>
  <c r="AE224" i="5"/>
  <c r="AE223" i="5"/>
  <c r="AE222" i="5"/>
  <c r="AE221" i="5"/>
  <c r="AE220" i="5"/>
  <c r="AE219" i="5"/>
  <c r="AE218" i="5"/>
  <c r="AE217" i="5"/>
  <c r="AE216" i="5"/>
  <c r="AE215" i="5"/>
  <c r="AE214" i="5"/>
  <c r="AE213" i="5"/>
  <c r="AE212" i="5"/>
  <c r="AE211" i="5"/>
  <c r="AE210" i="5"/>
  <c r="AE209" i="5"/>
  <c r="AE208" i="5"/>
  <c r="AE207" i="5"/>
  <c r="AE206" i="5"/>
  <c r="AE205" i="5"/>
  <c r="AE204" i="5"/>
  <c r="AE203" i="5"/>
  <c r="AE202" i="5"/>
  <c r="AE201" i="5"/>
  <c r="AE200" i="5"/>
  <c r="AE199" i="5"/>
  <c r="AE198" i="5"/>
  <c r="AE197" i="5"/>
  <c r="AE196" i="5"/>
  <c r="AE195" i="5"/>
  <c r="AE194" i="5"/>
  <c r="AE193" i="5"/>
  <c r="AE192" i="5"/>
  <c r="AE191" i="5"/>
  <c r="AE190" i="5"/>
  <c r="AE189" i="5"/>
  <c r="AE188" i="5"/>
  <c r="AE187" i="5"/>
  <c r="AE186" i="5"/>
  <c r="AE185" i="5"/>
  <c r="AE184" i="5"/>
  <c r="AE183" i="5"/>
  <c r="AE182" i="5"/>
  <c r="AE181" i="5"/>
  <c r="AE180" i="5"/>
  <c r="AE179" i="5"/>
  <c r="AE178" i="5"/>
  <c r="AE177" i="5"/>
  <c r="AE176" i="5"/>
  <c r="AE175" i="5"/>
  <c r="AE174" i="5"/>
  <c r="AE173" i="5"/>
  <c r="AE172" i="5"/>
  <c r="AE171" i="5"/>
  <c r="AE170" i="5"/>
  <c r="AE169" i="5"/>
  <c r="AE168" i="5"/>
  <c r="AE167" i="5"/>
  <c r="AE166" i="5"/>
  <c r="AE165" i="5"/>
  <c r="AE164" i="5"/>
  <c r="AE163" i="5"/>
  <c r="AE162" i="5"/>
  <c r="AE161" i="5"/>
  <c r="AE160" i="5"/>
  <c r="AE159" i="5"/>
  <c r="AE158" i="5"/>
  <c r="AE157" i="5"/>
  <c r="AE156" i="5"/>
  <c r="AE155" i="5"/>
  <c r="AE154" i="5"/>
  <c r="AE153" i="5"/>
  <c r="AE152" i="5"/>
  <c r="E5" i="5" l="1"/>
  <c r="E6" i="5"/>
  <c r="E7" i="5"/>
  <c r="A1" i="22" l="1"/>
  <c r="K27" i="6" l="1"/>
  <c r="K20" i="6"/>
  <c r="K13" i="6"/>
  <c r="L50" i="55"/>
  <c r="B50" i="55"/>
  <c r="B49" i="55"/>
  <c r="B48" i="55"/>
  <c r="L43" i="55"/>
  <c r="B43" i="55"/>
  <c r="B42" i="55"/>
  <c r="B41" i="55"/>
  <c r="L36" i="55"/>
  <c r="B36" i="55"/>
  <c r="B35" i="55"/>
  <c r="B34" i="55"/>
  <c r="L29" i="55"/>
  <c r="B29" i="55"/>
  <c r="B28" i="55"/>
  <c r="B27" i="55"/>
  <c r="L22" i="55"/>
  <c r="B22" i="55"/>
  <c r="B21" i="55"/>
  <c r="B20" i="55"/>
  <c r="L15" i="55"/>
  <c r="B15" i="55"/>
  <c r="B14" i="55"/>
  <c r="B13" i="55"/>
  <c r="L8" i="55"/>
  <c r="O4" i="55"/>
  <c r="B139" i="3"/>
  <c r="C139" i="3" s="1"/>
  <c r="B138" i="3"/>
  <c r="C138" i="3" s="1"/>
  <c r="B137" i="3"/>
  <c r="C137" i="3" s="1"/>
  <c r="B136" i="3"/>
  <c r="C136" i="3" s="1"/>
  <c r="B135" i="3"/>
  <c r="C135" i="3" s="1"/>
  <c r="B134" i="3"/>
  <c r="C134" i="3" s="1"/>
  <c r="B133" i="3"/>
  <c r="C133" i="3" s="1"/>
  <c r="B132" i="3"/>
  <c r="C132" i="3" s="1"/>
  <c r="B131" i="3"/>
  <c r="C131" i="3" s="1"/>
  <c r="B130" i="3"/>
  <c r="C130" i="3" s="1"/>
  <c r="B129" i="3"/>
  <c r="C129" i="3" s="1"/>
  <c r="B128" i="3"/>
  <c r="C128" i="3" s="1"/>
  <c r="B127" i="3"/>
  <c r="C127" i="3" s="1"/>
  <c r="B126" i="3"/>
  <c r="C126" i="3" s="1"/>
  <c r="B125" i="3"/>
  <c r="C125" i="3" s="1"/>
  <c r="B124" i="3"/>
  <c r="C124" i="3" s="1"/>
  <c r="B123" i="3"/>
  <c r="C123" i="3" s="1"/>
  <c r="B122" i="3"/>
  <c r="C122" i="3" s="1"/>
  <c r="B121" i="3"/>
  <c r="C121" i="3" s="1"/>
  <c r="B120" i="3"/>
  <c r="C120" i="3" s="1"/>
  <c r="B119" i="3"/>
  <c r="C119" i="3" s="1"/>
  <c r="B118" i="3"/>
  <c r="C118" i="3" s="1"/>
  <c r="B117" i="3"/>
  <c r="C117" i="3" s="1"/>
  <c r="B116" i="3"/>
  <c r="C116" i="3" s="1"/>
  <c r="B115" i="3"/>
  <c r="C115" i="3" s="1"/>
  <c r="B114" i="3"/>
  <c r="C114" i="3" s="1"/>
  <c r="B113" i="3"/>
  <c r="C113" i="3" s="1"/>
  <c r="B112" i="3"/>
  <c r="C112" i="3" s="1"/>
  <c r="B111" i="3"/>
  <c r="C111" i="3" s="1"/>
  <c r="B110" i="3"/>
  <c r="C110" i="3" s="1"/>
  <c r="B109" i="3"/>
  <c r="C109" i="3" s="1"/>
  <c r="B108" i="3"/>
  <c r="C108" i="3" s="1"/>
  <c r="B107" i="3"/>
  <c r="C107" i="3" s="1"/>
  <c r="B106" i="3"/>
  <c r="C106" i="3" s="1"/>
  <c r="B105" i="3"/>
  <c r="C105" i="3" s="1"/>
  <c r="B104" i="3"/>
  <c r="C104" i="3" s="1"/>
  <c r="B103" i="3"/>
  <c r="C103" i="3" s="1"/>
  <c r="B102" i="3"/>
  <c r="C102" i="3" s="1"/>
  <c r="B101" i="3"/>
  <c r="C101" i="3" s="1"/>
  <c r="B100" i="3"/>
  <c r="C100" i="3" s="1"/>
  <c r="B99" i="3"/>
  <c r="C99" i="3" s="1"/>
  <c r="B98" i="3"/>
  <c r="C98" i="3" s="1"/>
  <c r="B97" i="3"/>
  <c r="C97" i="3" s="1"/>
  <c r="B96" i="3"/>
  <c r="C96" i="3" s="1"/>
  <c r="B95" i="3"/>
  <c r="C95" i="3" s="1"/>
  <c r="B94" i="3"/>
  <c r="C94" i="3" s="1"/>
  <c r="B93" i="3"/>
  <c r="C93" i="3" s="1"/>
  <c r="B92" i="3"/>
  <c r="C92" i="3" s="1"/>
  <c r="B91" i="3"/>
  <c r="C91" i="3" s="1"/>
  <c r="B90" i="3"/>
  <c r="C90" i="3" s="1"/>
  <c r="B89" i="3"/>
  <c r="C89" i="3" s="1"/>
  <c r="B88" i="3"/>
  <c r="C88" i="3" s="1"/>
  <c r="B87" i="3"/>
  <c r="C87" i="3" s="1"/>
  <c r="B86" i="3"/>
  <c r="C86" i="3" s="1"/>
  <c r="B85" i="3"/>
  <c r="C85" i="3" s="1"/>
  <c r="B84" i="3"/>
  <c r="C84" i="3" s="1"/>
  <c r="B83" i="3"/>
  <c r="C83" i="3" s="1"/>
  <c r="B82" i="3"/>
  <c r="C82" i="3" s="1"/>
  <c r="B81" i="3"/>
  <c r="C81" i="3" s="1"/>
  <c r="B80" i="3"/>
  <c r="C80" i="3" s="1"/>
  <c r="B79" i="3"/>
  <c r="C79" i="3" s="1"/>
  <c r="B78" i="3"/>
  <c r="C78" i="3" s="1"/>
  <c r="B77" i="3"/>
  <c r="C77" i="3" s="1"/>
  <c r="B76" i="3"/>
  <c r="C76" i="3" s="1"/>
  <c r="B75" i="3"/>
  <c r="C75" i="3" s="1"/>
  <c r="B74" i="3"/>
  <c r="C74" i="3" s="1"/>
  <c r="B73" i="3"/>
  <c r="C73" i="3" s="1"/>
  <c r="B72" i="3"/>
  <c r="C72" i="3" s="1"/>
  <c r="B71" i="3"/>
  <c r="C71" i="3" s="1"/>
  <c r="B70" i="3"/>
  <c r="C70" i="3" s="1"/>
  <c r="B69" i="3"/>
  <c r="C69" i="3" s="1"/>
  <c r="B68" i="3"/>
  <c r="C68" i="3" s="1"/>
  <c r="B67" i="3"/>
  <c r="C67" i="3" s="1"/>
  <c r="B66" i="3"/>
  <c r="C66" i="3" s="1"/>
  <c r="B65" i="3"/>
  <c r="C65" i="3" s="1"/>
  <c r="B64" i="3"/>
  <c r="C64" i="3" s="1"/>
  <c r="B63" i="3"/>
  <c r="C63" i="3" s="1"/>
  <c r="B62" i="3"/>
  <c r="C62" i="3" s="1"/>
  <c r="B61" i="3"/>
  <c r="C61" i="3" s="1"/>
  <c r="B60" i="3"/>
  <c r="C60" i="3" s="1"/>
  <c r="B59" i="3"/>
  <c r="C59" i="3" s="1"/>
  <c r="B58" i="3"/>
  <c r="C58" i="3" s="1"/>
  <c r="B57" i="3"/>
  <c r="C57" i="3" s="1"/>
  <c r="B56" i="3"/>
  <c r="C56" i="3" s="1"/>
  <c r="B55" i="3"/>
  <c r="C55" i="3" s="1"/>
  <c r="B54" i="3"/>
  <c r="C54" i="3" s="1"/>
  <c r="B53" i="3"/>
  <c r="C53" i="3" s="1"/>
  <c r="B52" i="3"/>
  <c r="C52" i="3" s="1"/>
  <c r="B51" i="3"/>
  <c r="C51" i="3" s="1"/>
  <c r="B50" i="3"/>
  <c r="C50" i="3" s="1"/>
  <c r="B49" i="3"/>
  <c r="C49" i="3" s="1"/>
  <c r="B48" i="3"/>
  <c r="C48" i="3" s="1"/>
  <c r="D47" i="3"/>
  <c r="B47" i="3"/>
  <c r="C47" i="3" s="1"/>
  <c r="D46" i="3"/>
  <c r="B46" i="3"/>
  <c r="C46" i="3" s="1"/>
  <c r="D45" i="3"/>
  <c r="B45" i="3"/>
  <c r="C45" i="3" s="1"/>
  <c r="D44" i="3"/>
  <c r="B44" i="3"/>
  <c r="C44" i="3" s="1"/>
  <c r="D43" i="3"/>
  <c r="B43" i="3"/>
  <c r="C43" i="3" s="1"/>
  <c r="D42" i="3"/>
  <c r="B42" i="3"/>
  <c r="C42" i="3" s="1"/>
  <c r="D41" i="3"/>
  <c r="B41" i="3"/>
  <c r="C41" i="3" s="1"/>
  <c r="D40" i="3"/>
  <c r="B40" i="3"/>
  <c r="C40" i="3" s="1"/>
  <c r="D39" i="3"/>
  <c r="B39" i="3"/>
  <c r="C39" i="3" s="1"/>
  <c r="D38" i="3"/>
  <c r="B38" i="3"/>
  <c r="C38" i="3" s="1"/>
  <c r="D37" i="3"/>
  <c r="B37" i="3"/>
  <c r="C37" i="3" s="1"/>
  <c r="D36" i="3"/>
  <c r="B36" i="3"/>
  <c r="C36" i="3" s="1"/>
  <c r="D35" i="3"/>
  <c r="B35" i="3"/>
  <c r="C35" i="3" s="1"/>
  <c r="D34" i="3"/>
  <c r="B34" i="3"/>
  <c r="C34" i="3" s="1"/>
  <c r="D33" i="3"/>
  <c r="B33" i="3"/>
  <c r="C33" i="3" s="1"/>
  <c r="D32" i="3"/>
  <c r="B32" i="3"/>
  <c r="C32" i="3" s="1"/>
  <c r="D31" i="3"/>
  <c r="B31" i="3"/>
  <c r="C31" i="3" s="1"/>
  <c r="D30" i="3"/>
  <c r="B30" i="3"/>
  <c r="C30" i="3" s="1"/>
  <c r="D29" i="3"/>
  <c r="B29" i="3"/>
  <c r="C29" i="3" s="1"/>
  <c r="D28" i="3"/>
  <c r="B28" i="3"/>
  <c r="C28" i="3" s="1"/>
  <c r="D27" i="3"/>
  <c r="B27" i="3"/>
  <c r="C27" i="3" s="1"/>
  <c r="D26" i="3"/>
  <c r="B26" i="3"/>
  <c r="C26" i="3" s="1"/>
  <c r="D25" i="3"/>
  <c r="B25" i="3"/>
  <c r="C25" i="3" s="1"/>
  <c r="D24" i="3"/>
  <c r="B24" i="3"/>
  <c r="C24" i="3" s="1"/>
  <c r="D23" i="3"/>
  <c r="B23" i="3"/>
  <c r="C23" i="3" s="1"/>
  <c r="D22" i="3"/>
  <c r="B22" i="3"/>
  <c r="C22" i="3" s="1"/>
  <c r="D21" i="3"/>
  <c r="B21" i="3"/>
  <c r="C21" i="3" s="1"/>
  <c r="D20" i="3"/>
  <c r="B20" i="3"/>
  <c r="C20" i="3" s="1"/>
  <c r="D19" i="3"/>
  <c r="B19" i="3"/>
  <c r="C19" i="3" s="1"/>
  <c r="D18" i="3"/>
  <c r="B18" i="3"/>
  <c r="C18" i="3" s="1"/>
  <c r="D17" i="3"/>
  <c r="B17" i="3"/>
  <c r="C17" i="3" s="1"/>
  <c r="D16" i="3"/>
  <c r="B16" i="3"/>
  <c r="C16" i="3" s="1"/>
  <c r="D15" i="3"/>
  <c r="B15" i="3"/>
  <c r="C15" i="3" s="1"/>
  <c r="D14" i="3"/>
  <c r="B14" i="3"/>
  <c r="C14" i="3" s="1"/>
  <c r="D13" i="3"/>
  <c r="B13" i="3"/>
  <c r="C13" i="3" s="1"/>
  <c r="D12" i="3"/>
  <c r="B12" i="3"/>
  <c r="C12" i="3" s="1"/>
  <c r="D11" i="3"/>
  <c r="B11" i="3"/>
  <c r="C11" i="3" s="1"/>
  <c r="D10" i="3"/>
  <c r="B10" i="3"/>
  <c r="C10" i="3" s="1"/>
  <c r="D9" i="3"/>
  <c r="B9" i="3"/>
  <c r="C9" i="3" s="1"/>
  <c r="D8" i="3"/>
  <c r="B8" i="3"/>
  <c r="C8" i="3" s="1"/>
  <c r="D7" i="3"/>
  <c r="B7" i="3"/>
  <c r="C7" i="3" s="1"/>
  <c r="D6" i="3"/>
  <c r="B6" i="3"/>
  <c r="C6" i="3" s="1"/>
  <c r="D5" i="3"/>
  <c r="B5" i="3"/>
  <c r="C5" i="3" s="1"/>
  <c r="D4" i="3"/>
  <c r="B4" i="3"/>
  <c r="C4" i="3" s="1"/>
  <c r="D3" i="3"/>
  <c r="B3" i="3"/>
  <c r="C3" i="3" s="1"/>
  <c r="D2" i="3"/>
  <c r="B2" i="3"/>
  <c r="C2" i="3" s="1"/>
  <c r="A101" i="48"/>
  <c r="A100" i="48"/>
  <c r="A99" i="48"/>
  <c r="A98" i="48"/>
  <c r="A97" i="48"/>
  <c r="A96" i="48"/>
  <c r="A95" i="48"/>
  <c r="A94" i="48"/>
  <c r="A93" i="48"/>
  <c r="A92" i="48"/>
  <c r="A91" i="48"/>
  <c r="A90" i="48"/>
  <c r="A89" i="48"/>
  <c r="A88" i="48"/>
  <c r="A87" i="48"/>
  <c r="A86" i="48"/>
  <c r="A85" i="48"/>
  <c r="A84" i="48"/>
  <c r="A83" i="48"/>
  <c r="A82" i="48"/>
  <c r="A81" i="48"/>
  <c r="A80" i="48"/>
  <c r="A79" i="48"/>
  <c r="A78" i="48"/>
  <c r="A77" i="48"/>
  <c r="A76" i="48"/>
  <c r="A75" i="48"/>
  <c r="A74" i="48"/>
  <c r="A73" i="48"/>
  <c r="A72" i="48"/>
  <c r="A71" i="48"/>
  <c r="A70" i="48"/>
  <c r="A69" i="48"/>
  <c r="A68" i="48"/>
  <c r="A67" i="48"/>
  <c r="A66" i="48"/>
  <c r="A65" i="48"/>
  <c r="A64" i="48"/>
  <c r="A63" i="48"/>
  <c r="A62" i="48"/>
  <c r="A61" i="48"/>
  <c r="A60" i="48"/>
  <c r="A59" i="48"/>
  <c r="A58" i="48"/>
  <c r="A57" i="48"/>
  <c r="A56" i="48"/>
  <c r="A55" i="48"/>
  <c r="A54" i="48"/>
  <c r="A53" i="48"/>
  <c r="A52" i="48"/>
  <c r="A51" i="48"/>
  <c r="A50" i="48"/>
  <c r="A49" i="48"/>
  <c r="A48" i="48"/>
  <c r="A47" i="48"/>
  <c r="A46" i="48"/>
  <c r="A45" i="48"/>
  <c r="A44" i="48"/>
  <c r="A43" i="48"/>
  <c r="A42" i="48"/>
  <c r="A41" i="48"/>
  <c r="A40" i="48"/>
  <c r="A39" i="48"/>
  <c r="A38" i="48"/>
  <c r="A37" i="48"/>
  <c r="A36" i="48"/>
  <c r="A35" i="48"/>
  <c r="A34" i="48"/>
  <c r="A33" i="48"/>
  <c r="A32" i="48"/>
  <c r="A31" i="48"/>
  <c r="A30" i="48"/>
  <c r="A29" i="48"/>
  <c r="A28" i="48"/>
  <c r="A27" i="48"/>
  <c r="A26" i="48"/>
  <c r="A25" i="48"/>
  <c r="A24" i="48"/>
  <c r="A23" i="48"/>
  <c r="A22" i="48"/>
  <c r="A21" i="48"/>
  <c r="A20" i="48"/>
  <c r="A19" i="48"/>
  <c r="A18" i="48"/>
  <c r="A17" i="48"/>
  <c r="A16" i="48"/>
  <c r="A15" i="48"/>
  <c r="A14" i="48"/>
  <c r="A13" i="48"/>
  <c r="A12" i="48"/>
  <c r="A11" i="48"/>
  <c r="A10" i="48"/>
  <c r="A9" i="48"/>
  <c r="A8" i="48"/>
  <c r="A7" i="48"/>
  <c r="L6" i="48"/>
  <c r="A6" i="48"/>
  <c r="A5" i="48"/>
  <c r="A4" i="48"/>
  <c r="A3" i="48"/>
  <c r="I1" i="48"/>
  <c r="A2" i="48"/>
  <c r="B13" i="10"/>
  <c r="B8" i="10"/>
  <c r="B3" i="10"/>
  <c r="L93" i="13"/>
  <c r="R91" i="13"/>
  <c r="L91" i="13"/>
  <c r="R89" i="13"/>
  <c r="L89" i="13"/>
  <c r="AV9" i="13"/>
  <c r="R87" i="13"/>
  <c r="L87" i="13"/>
  <c r="AV7" i="13"/>
  <c r="R85" i="13"/>
  <c r="L85" i="13"/>
  <c r="R83" i="13"/>
  <c r="L83" i="13"/>
  <c r="AV2" i="13"/>
  <c r="AL3" i="25" s="1"/>
  <c r="R81" i="13"/>
  <c r="L81" i="13"/>
  <c r="R79" i="13"/>
  <c r="R77" i="13"/>
  <c r="R75" i="13"/>
  <c r="R73" i="13"/>
  <c r="M73" i="13"/>
  <c r="M72" i="13"/>
  <c r="L72" i="13"/>
  <c r="M71" i="13"/>
  <c r="M70" i="13"/>
  <c r="L70" i="13"/>
  <c r="M69" i="13"/>
  <c r="M68" i="13"/>
  <c r="L68" i="13"/>
  <c r="M67" i="13"/>
  <c r="AP4" i="13"/>
  <c r="AG5" i="25" s="1"/>
  <c r="M66" i="13"/>
  <c r="L66" i="13"/>
  <c r="M65" i="13"/>
  <c r="AP2" i="13"/>
  <c r="AG3" i="25" s="1"/>
  <c r="R64" i="13"/>
  <c r="K65" i="25" s="1"/>
  <c r="M64" i="13"/>
  <c r="L64" i="13"/>
  <c r="M63" i="13"/>
  <c r="R62" i="13"/>
  <c r="K63" i="25" s="1"/>
  <c r="M62" i="13"/>
  <c r="L62" i="13"/>
  <c r="R60" i="13"/>
  <c r="K61" i="25" s="1"/>
  <c r="L60" i="13"/>
  <c r="R58" i="13"/>
  <c r="K59" i="25" s="1"/>
  <c r="L58" i="13"/>
  <c r="AJ19" i="13"/>
  <c r="R56" i="13"/>
  <c r="K57" i="25" s="1"/>
  <c r="L56" i="13"/>
  <c r="AJ17" i="13"/>
  <c r="AB18" i="25" s="1"/>
  <c r="R54" i="13"/>
  <c r="K55" i="25" s="1"/>
  <c r="L54" i="13"/>
  <c r="Y53" i="13"/>
  <c r="AJ15" i="13"/>
  <c r="Y52" i="13"/>
  <c r="X52" i="13"/>
  <c r="R52" i="13"/>
  <c r="K53" i="25" s="1"/>
  <c r="L52" i="13"/>
  <c r="Y51" i="13"/>
  <c r="Y50" i="13"/>
  <c r="X50" i="13"/>
  <c r="R50" i="13"/>
  <c r="K51" i="25" s="1"/>
  <c r="L50" i="13"/>
  <c r="Y49" i="13"/>
  <c r="Y48" i="13"/>
  <c r="X48" i="13"/>
  <c r="R48" i="13"/>
  <c r="K49" i="25" s="1"/>
  <c r="L48" i="13"/>
  <c r="Y47" i="13"/>
  <c r="Y46" i="13"/>
  <c r="X46" i="13"/>
  <c r="R46" i="13"/>
  <c r="K47" i="25" s="1"/>
  <c r="L46" i="13"/>
  <c r="AJ8" i="13"/>
  <c r="AB9" i="25" s="1"/>
  <c r="Y45" i="13"/>
  <c r="Y44" i="13"/>
  <c r="X44" i="13"/>
  <c r="R44" i="13"/>
  <c r="K45" i="25" s="1"/>
  <c r="L44" i="13"/>
  <c r="AJ6" i="13"/>
  <c r="AB7" i="25" s="1"/>
  <c r="Y43" i="13"/>
  <c r="Y42" i="13"/>
  <c r="X42" i="13"/>
  <c r="R42" i="13"/>
  <c r="K43" i="25" s="1"/>
  <c r="L42" i="13"/>
  <c r="AJ4" i="13"/>
  <c r="AB5" i="25" s="1"/>
  <c r="Y41" i="13"/>
  <c r="Y40" i="13"/>
  <c r="X40" i="13"/>
  <c r="R40" i="13"/>
  <c r="K41" i="25" s="1"/>
  <c r="L40" i="13"/>
  <c r="AJ2" i="13"/>
  <c r="AB3" i="25" s="1"/>
  <c r="R38" i="13"/>
  <c r="K39" i="25" s="1"/>
  <c r="L38" i="13"/>
  <c r="R36" i="13"/>
  <c r="K37" i="25" s="1"/>
  <c r="L36" i="13"/>
  <c r="R34" i="13"/>
  <c r="K35" i="25" s="1"/>
  <c r="L34" i="13"/>
  <c r="O34" i="25"/>
  <c r="X32" i="13"/>
  <c r="Q33" i="25" s="1"/>
  <c r="O33" i="25"/>
  <c r="R32" i="13"/>
  <c r="K33" i="25" s="1"/>
  <c r="L32" i="13"/>
  <c r="X30" i="13"/>
  <c r="Q31" i="25" s="1"/>
  <c r="O31" i="25"/>
  <c r="R30" i="13"/>
  <c r="K31" i="25" s="1"/>
  <c r="L30" i="13"/>
  <c r="AD28" i="13"/>
  <c r="X28" i="13"/>
  <c r="Q29" i="25" s="1"/>
  <c r="R28" i="13"/>
  <c r="K29" i="25" s="1"/>
  <c r="L28" i="13"/>
  <c r="AD26" i="13"/>
  <c r="X26" i="13"/>
  <c r="Q27" i="25" s="1"/>
  <c r="R26" i="13"/>
  <c r="K27" i="25" s="1"/>
  <c r="L26" i="13"/>
  <c r="O26" i="25"/>
  <c r="X24" i="13"/>
  <c r="Q25" i="25" s="1"/>
  <c r="O25" i="25"/>
  <c r="R24" i="13"/>
  <c r="K25" i="25" s="1"/>
  <c r="L24" i="13"/>
  <c r="O24" i="25"/>
  <c r="X22" i="13"/>
  <c r="Q23" i="25" s="1"/>
  <c r="R22" i="13"/>
  <c r="K23" i="25" s="1"/>
  <c r="L22" i="13"/>
  <c r="O22" i="25"/>
  <c r="X20" i="13"/>
  <c r="Q21" i="25" s="1"/>
  <c r="O21" i="25"/>
  <c r="R20" i="13"/>
  <c r="K21" i="25" s="1"/>
  <c r="L20" i="13"/>
  <c r="AJ2" i="25"/>
  <c r="V19" i="13"/>
  <c r="O20" i="25" s="1"/>
  <c r="X18" i="13"/>
  <c r="Q19" i="25" s="1"/>
  <c r="V18" i="13"/>
  <c r="O19" i="25" s="1"/>
  <c r="R18" i="13"/>
  <c r="K19" i="25" s="1"/>
  <c r="L18" i="13"/>
  <c r="Z2" i="25"/>
  <c r="V17" i="13"/>
  <c r="O18" i="25" s="1"/>
  <c r="U2" i="25"/>
  <c r="AD16" i="13"/>
  <c r="W17" i="25" s="1"/>
  <c r="X16" i="13"/>
  <c r="Q17" i="25" s="1"/>
  <c r="V16" i="13"/>
  <c r="O17" i="25" s="1"/>
  <c r="R16" i="13"/>
  <c r="K17" i="25" s="1"/>
  <c r="L16" i="13"/>
  <c r="O2" i="25"/>
  <c r="V15" i="13"/>
  <c r="O16" i="25" s="1"/>
  <c r="I2" i="25"/>
  <c r="AD14" i="13"/>
  <c r="W15" i="25" s="1"/>
  <c r="X14" i="13"/>
  <c r="Q15" i="25" s="1"/>
  <c r="V14" i="13"/>
  <c r="R14" i="13"/>
  <c r="K15" i="25" s="1"/>
  <c r="L14" i="13"/>
  <c r="V13" i="13"/>
  <c r="O14" i="25" s="1"/>
  <c r="AD12" i="13"/>
  <c r="W13" i="25" s="1"/>
  <c r="X12" i="13"/>
  <c r="Q13" i="25" s="1"/>
  <c r="V12" i="13"/>
  <c r="O13" i="25" s="1"/>
  <c r="R12" i="13"/>
  <c r="K13" i="25" s="1"/>
  <c r="L12" i="13"/>
  <c r="V11" i="13"/>
  <c r="O12" i="25" s="1"/>
  <c r="X10" i="13"/>
  <c r="Q11" i="25" s="1"/>
  <c r="V10" i="13"/>
  <c r="O11" i="25" s="1"/>
  <c r="R10" i="13"/>
  <c r="K11" i="25" s="1"/>
  <c r="L10" i="13"/>
  <c r="V9" i="13"/>
  <c r="O10" i="25" s="1"/>
  <c r="AD8" i="13"/>
  <c r="W9" i="25" s="1"/>
  <c r="X8" i="13"/>
  <c r="Q9" i="25" s="1"/>
  <c r="V8" i="13"/>
  <c r="O9" i="25" s="1"/>
  <c r="R8" i="13"/>
  <c r="K9" i="25" s="1"/>
  <c r="L8" i="13"/>
  <c r="V7" i="13"/>
  <c r="O8" i="25" s="1"/>
  <c r="AD6" i="13"/>
  <c r="W7" i="25" s="1"/>
  <c r="X6" i="13"/>
  <c r="Q7" i="25" s="1"/>
  <c r="V6" i="13"/>
  <c r="O7" i="25" s="1"/>
  <c r="R6" i="13"/>
  <c r="K7" i="25" s="1"/>
  <c r="L6" i="13"/>
  <c r="V5" i="13"/>
  <c r="AD4" i="13"/>
  <c r="W5" i="25" s="1"/>
  <c r="X4" i="13"/>
  <c r="Q5" i="25" s="1"/>
  <c r="V4" i="13"/>
  <c r="O5" i="25" s="1"/>
  <c r="R4" i="13"/>
  <c r="K5" i="25" s="1"/>
  <c r="L4" i="13"/>
  <c r="B4" i="13"/>
  <c r="B6" i="13" s="1"/>
  <c r="V3" i="13"/>
  <c r="AD2" i="13"/>
  <c r="W3" i="25" s="1"/>
  <c r="X2" i="13"/>
  <c r="Q3" i="25" s="1"/>
  <c r="V2" i="13"/>
  <c r="O3" i="25" s="1"/>
  <c r="R2" i="13"/>
  <c r="K3" i="25" s="1"/>
  <c r="L2" i="13"/>
  <c r="C30" i="54"/>
  <c r="C29" i="54"/>
  <c r="C28" i="54"/>
  <c r="C27" i="54"/>
  <c r="C26" i="54"/>
  <c r="C25" i="54"/>
  <c r="C24" i="54"/>
  <c r="C23" i="54"/>
  <c r="C22" i="54"/>
  <c r="C21" i="54"/>
  <c r="C20" i="54"/>
  <c r="C19" i="54"/>
  <c r="C18" i="54"/>
  <c r="C17" i="54"/>
  <c r="C16" i="54"/>
  <c r="C15" i="54"/>
  <c r="C14" i="54"/>
  <c r="C13" i="54"/>
  <c r="C12" i="54"/>
  <c r="C11" i="54"/>
  <c r="C10" i="54"/>
  <c r="C9" i="54"/>
  <c r="C8" i="54"/>
  <c r="C7" i="54"/>
  <c r="AC34" i="34"/>
  <c r="AC33" i="34"/>
  <c r="AC32" i="34"/>
  <c r="AC31" i="34"/>
  <c r="A131" i="5"/>
  <c r="A128" i="5"/>
  <c r="A127" i="5"/>
  <c r="AF127" i="5" s="1"/>
  <c r="A122" i="5"/>
  <c r="A119" i="5"/>
  <c r="A116" i="5"/>
  <c r="A113" i="5"/>
  <c r="A110" i="5"/>
  <c r="A107" i="5"/>
  <c r="A104" i="5"/>
  <c r="A101" i="5"/>
  <c r="A98" i="5"/>
  <c r="A95" i="5"/>
  <c r="A92" i="5"/>
  <c r="A89" i="5"/>
  <c r="A88" i="5"/>
  <c r="AF88" i="5" s="1"/>
  <c r="A83" i="5"/>
  <c r="A80" i="5"/>
  <c r="A77" i="5"/>
  <c r="A74" i="5"/>
  <c r="A71" i="5"/>
  <c r="A68" i="5"/>
  <c r="A65" i="5"/>
  <c r="A62" i="5"/>
  <c r="A59" i="5"/>
  <c r="A56" i="5"/>
  <c r="A53" i="5"/>
  <c r="A50" i="5"/>
  <c r="A47" i="5"/>
  <c r="A44" i="5"/>
  <c r="A41" i="5"/>
  <c r="A38" i="24"/>
  <c r="C35" i="1"/>
  <c r="A35" i="5"/>
  <c r="A32" i="5"/>
  <c r="A29" i="5"/>
  <c r="A26" i="5"/>
  <c r="A20" i="5"/>
  <c r="A17" i="5"/>
  <c r="A14" i="5"/>
  <c r="B11" i="1"/>
  <c r="A11" i="5" s="1"/>
  <c r="B8" i="1"/>
  <c r="A8" i="5" s="1"/>
  <c r="B5" i="1"/>
  <c r="A5" i="5" s="1"/>
  <c r="AJ2" i="1"/>
  <c r="B2" i="1"/>
  <c r="A2" i="5" s="1"/>
  <c r="E133" i="5"/>
  <c r="C133" i="1" s="1"/>
  <c r="E132" i="5"/>
  <c r="C132" i="1" s="1"/>
  <c r="E131" i="5"/>
  <c r="C131" i="1" s="1"/>
  <c r="C130" i="1"/>
  <c r="E129" i="5"/>
  <c r="C129" i="1" s="1"/>
  <c r="E128" i="5"/>
  <c r="C128" i="1" s="1"/>
  <c r="E127" i="5"/>
  <c r="C127" i="1" s="1"/>
  <c r="E126" i="5"/>
  <c r="C126" i="1" s="1"/>
  <c r="E125" i="5"/>
  <c r="C125" i="1" s="1"/>
  <c r="E124" i="5"/>
  <c r="C124" i="1" s="1"/>
  <c r="E123" i="5"/>
  <c r="C123" i="1" s="1"/>
  <c r="E122" i="5"/>
  <c r="C122" i="1" s="1"/>
  <c r="E121" i="5"/>
  <c r="C121" i="1" s="1"/>
  <c r="C120" i="1"/>
  <c r="E119" i="5"/>
  <c r="C119" i="1" s="1"/>
  <c r="E118" i="5"/>
  <c r="C118" i="1" s="1"/>
  <c r="E117" i="5"/>
  <c r="C117" i="1" s="1"/>
  <c r="E116" i="5"/>
  <c r="C116" i="1" s="1"/>
  <c r="E115" i="5"/>
  <c r="C115" i="1" s="1"/>
  <c r="E114" i="5"/>
  <c r="C114" i="1" s="1"/>
  <c r="E113" i="5"/>
  <c r="C113" i="1" s="1"/>
  <c r="E112" i="5"/>
  <c r="C112" i="1" s="1"/>
  <c r="E111" i="5"/>
  <c r="C111" i="1" s="1"/>
  <c r="E110" i="5"/>
  <c r="C110" i="1" s="1"/>
  <c r="C109" i="1"/>
  <c r="C108" i="1"/>
  <c r="E107" i="5"/>
  <c r="C107" i="1" s="1"/>
  <c r="C106" i="1"/>
  <c r="C105" i="1"/>
  <c r="E104" i="5"/>
  <c r="C104" i="1" s="1"/>
  <c r="C103" i="1"/>
  <c r="C102" i="1"/>
  <c r="C101" i="1"/>
  <c r="E100" i="5"/>
  <c r="C100" i="1" s="1"/>
  <c r="E99" i="5"/>
  <c r="C99" i="1" s="1"/>
  <c r="E98" i="5"/>
  <c r="C98" i="1" s="1"/>
  <c r="E97" i="5"/>
  <c r="C97" i="1" s="1"/>
  <c r="E96" i="5"/>
  <c r="C96" i="1" s="1"/>
  <c r="E95" i="5"/>
  <c r="C95" i="1" s="1"/>
  <c r="E94" i="5"/>
  <c r="C94" i="1" s="1"/>
  <c r="E93" i="5"/>
  <c r="C93" i="1" s="1"/>
  <c r="E92" i="5"/>
  <c r="C92" i="1" s="1"/>
  <c r="E91" i="5"/>
  <c r="C91" i="1" s="1"/>
  <c r="E90" i="5"/>
  <c r="C90" i="1" s="1"/>
  <c r="E89" i="5"/>
  <c r="C89" i="1" s="1"/>
  <c r="E88" i="5"/>
  <c r="C88" i="1" s="1"/>
  <c r="E87" i="5"/>
  <c r="C87" i="1" s="1"/>
  <c r="E86" i="5"/>
  <c r="C86" i="1" s="1"/>
  <c r="E85" i="5"/>
  <c r="C85" i="1" s="1"/>
  <c r="E84" i="5"/>
  <c r="C84" i="1" s="1"/>
  <c r="E83" i="5"/>
  <c r="C83" i="1" s="1"/>
  <c r="E82" i="5"/>
  <c r="C82" i="1" s="1"/>
  <c r="E81" i="5"/>
  <c r="C81" i="1" s="1"/>
  <c r="E80" i="5"/>
  <c r="C80" i="1" s="1"/>
  <c r="E79" i="5"/>
  <c r="C79" i="1" s="1"/>
  <c r="E78" i="5"/>
  <c r="C78" i="1" s="1"/>
  <c r="C77" i="1"/>
  <c r="E76" i="5"/>
  <c r="C76" i="1" s="1"/>
  <c r="E75" i="5"/>
  <c r="C75" i="1" s="1"/>
  <c r="E74" i="5"/>
  <c r="C74" i="1" s="1"/>
  <c r="E73" i="5"/>
  <c r="C73" i="1" s="1"/>
  <c r="E72" i="5"/>
  <c r="C72" i="1" s="1"/>
  <c r="E71" i="5"/>
  <c r="C71" i="1" s="1"/>
  <c r="E70" i="5"/>
  <c r="C70" i="1" s="1"/>
  <c r="E69" i="5"/>
  <c r="C69" i="1" s="1"/>
  <c r="E68" i="5"/>
  <c r="C68" i="1" s="1"/>
  <c r="E67" i="5"/>
  <c r="C67" i="1" s="1"/>
  <c r="E66" i="5"/>
  <c r="C66" i="1" s="1"/>
  <c r="AI17" i="5"/>
  <c r="E65" i="5"/>
  <c r="C65" i="1" s="1"/>
  <c r="E64" i="5"/>
  <c r="C64" i="1" s="1"/>
  <c r="AN35" i="5"/>
  <c r="E63" i="5"/>
  <c r="C63" i="1" s="1"/>
  <c r="AN19" i="5"/>
  <c r="AI47" i="5"/>
  <c r="E62" i="5"/>
  <c r="C62" i="1" s="1"/>
  <c r="AI13" i="5"/>
  <c r="E61" i="5"/>
  <c r="C61" i="1" s="1"/>
  <c r="E60" i="5"/>
  <c r="C60" i="1" s="1"/>
  <c r="AN5" i="5"/>
  <c r="AI26" i="5"/>
  <c r="E59" i="5"/>
  <c r="C59" i="1" s="1"/>
  <c r="AN2" i="5"/>
  <c r="E58" i="5"/>
  <c r="C58" i="1" s="1"/>
  <c r="AN43" i="5"/>
  <c r="E57" i="5"/>
  <c r="C57" i="1" s="1"/>
  <c r="E56" i="5"/>
  <c r="C56" i="1" s="1"/>
  <c r="AI24" i="5"/>
  <c r="E55" i="5"/>
  <c r="C55" i="1" s="1"/>
  <c r="AN44" i="5"/>
  <c r="E54" i="5"/>
  <c r="C54" i="1" s="1"/>
  <c r="AN36" i="5"/>
  <c r="E53" i="5"/>
  <c r="C53" i="1" s="1"/>
  <c r="AN3" i="5"/>
  <c r="E52" i="5"/>
  <c r="C52" i="1" s="1"/>
  <c r="AI29" i="5"/>
  <c r="E51" i="5"/>
  <c r="C51" i="1" s="1"/>
  <c r="AN51" i="5"/>
  <c r="E50" i="5"/>
  <c r="C50" i="1" s="1"/>
  <c r="AI21" i="5"/>
  <c r="E49" i="5"/>
  <c r="C49" i="1" s="1"/>
  <c r="AN12" i="5"/>
  <c r="AI6" i="5"/>
  <c r="E48" i="5"/>
  <c r="C48" i="1" s="1"/>
  <c r="AI40" i="5"/>
  <c r="E47" i="5"/>
  <c r="C47" i="1" s="1"/>
  <c r="AN13" i="5"/>
  <c r="AI7" i="5"/>
  <c r="E46" i="5"/>
  <c r="C46" i="1" s="1"/>
  <c r="AN27" i="5"/>
  <c r="AI3" i="5"/>
  <c r="E45" i="5"/>
  <c r="C45" i="1" s="1"/>
  <c r="AN17" i="5"/>
  <c r="AI4" i="5"/>
  <c r="E44" i="5"/>
  <c r="C44" i="1" s="1"/>
  <c r="AN23" i="5"/>
  <c r="E43" i="5"/>
  <c r="C43" i="1" s="1"/>
  <c r="AN47" i="5"/>
  <c r="AI8" i="5"/>
  <c r="E42" i="5"/>
  <c r="C42" i="1" s="1"/>
  <c r="AI51" i="5"/>
  <c r="E41" i="5"/>
  <c r="C41" i="1" s="1"/>
  <c r="AN40" i="5"/>
  <c r="C40" i="1"/>
  <c r="AN6" i="5"/>
  <c r="AI22" i="5"/>
  <c r="C39" i="1"/>
  <c r="AN15" i="5"/>
  <c r="AI39" i="5"/>
  <c r="C38" i="1"/>
  <c r="AN14" i="5"/>
  <c r="C37" i="1"/>
  <c r="AI41" i="5"/>
  <c r="E36" i="5"/>
  <c r="C36" i="1" s="1"/>
  <c r="AN9" i="5"/>
  <c r="AI10" i="5"/>
  <c r="AI45" i="5"/>
  <c r="E34" i="5"/>
  <c r="C34" i="1" s="1"/>
  <c r="AN22" i="5"/>
  <c r="AI48" i="5"/>
  <c r="E33" i="5"/>
  <c r="C33" i="1" s="1"/>
  <c r="AN10" i="5"/>
  <c r="AI27" i="5"/>
  <c r="E32" i="5"/>
  <c r="C32" i="1" s="1"/>
  <c r="AI49" i="5"/>
  <c r="E31" i="5"/>
  <c r="C31" i="1" s="1"/>
  <c r="E30" i="5"/>
  <c r="C30" i="1" s="1"/>
  <c r="AN39" i="5"/>
  <c r="AI16" i="5"/>
  <c r="E29" i="5"/>
  <c r="C29" i="1" s="1"/>
  <c r="E28" i="5"/>
  <c r="C28" i="1" s="1"/>
  <c r="AN42" i="5"/>
  <c r="AI19" i="5"/>
  <c r="E27" i="5"/>
  <c r="C27" i="1" s="1"/>
  <c r="AN50" i="5"/>
  <c r="E26" i="5"/>
  <c r="C26" i="1" s="1"/>
  <c r="AN41" i="5"/>
  <c r="AI5" i="5"/>
  <c r="E25" i="5"/>
  <c r="C25" i="1" s="1"/>
  <c r="AI42" i="5"/>
  <c r="E24" i="5"/>
  <c r="C24" i="1" s="1"/>
  <c r="AN34" i="5"/>
  <c r="E23" i="5"/>
  <c r="C23" i="1" s="1"/>
  <c r="AN16" i="5"/>
  <c r="E22" i="5"/>
  <c r="C22" i="1" s="1"/>
  <c r="AI35" i="5"/>
  <c r="E21" i="5"/>
  <c r="C21" i="1" s="1"/>
  <c r="AN37" i="5"/>
  <c r="E20" i="5"/>
  <c r="C20" i="1" s="1"/>
  <c r="AN28" i="5"/>
  <c r="AI43" i="5"/>
  <c r="E19" i="5"/>
  <c r="C19" i="1" s="1"/>
  <c r="AN20" i="5"/>
  <c r="E18" i="5"/>
  <c r="C18" i="1" s="1"/>
  <c r="E17" i="5"/>
  <c r="C17" i="1" s="1"/>
  <c r="AI34" i="5"/>
  <c r="E16" i="5"/>
  <c r="C16" i="1" s="1"/>
  <c r="AI28" i="5"/>
  <c r="E15" i="5"/>
  <c r="C15" i="1" s="1"/>
  <c r="AI32" i="5"/>
  <c r="E14" i="5"/>
  <c r="C14" i="1" s="1"/>
  <c r="AN8" i="5"/>
  <c r="AI25" i="5"/>
  <c r="E13" i="5"/>
  <c r="C13" i="1" s="1"/>
  <c r="AN29" i="5"/>
  <c r="AI50" i="5"/>
  <c r="C12" i="1"/>
  <c r="AN32" i="5"/>
  <c r="AI9" i="5"/>
  <c r="C11" i="1"/>
  <c r="AN31" i="5"/>
  <c r="E10" i="5"/>
  <c r="C10" i="1" s="1"/>
  <c r="AN46" i="5"/>
  <c r="AI2" i="5"/>
  <c r="E9" i="5"/>
  <c r="C9" i="1" s="1"/>
  <c r="AN24" i="5"/>
  <c r="E8" i="5"/>
  <c r="AI46" i="5"/>
  <c r="C7" i="1"/>
  <c r="AN33" i="5"/>
  <c r="C6" i="1"/>
  <c r="AN4" i="5"/>
  <c r="AI44" i="5"/>
  <c r="C5" i="1"/>
  <c r="AN48" i="5"/>
  <c r="AI33" i="5"/>
  <c r="C4" i="1"/>
  <c r="AN49" i="5"/>
  <c r="AI38" i="5"/>
  <c r="C3" i="1"/>
  <c r="AN45" i="5"/>
  <c r="AI30" i="5"/>
  <c r="AC47" i="7"/>
  <c r="AB47" i="7"/>
  <c r="AA47" i="7"/>
  <c r="Z47" i="7"/>
  <c r="Y47" i="7"/>
  <c r="X47" i="7"/>
  <c r="T47" i="7"/>
  <c r="S47" i="7"/>
  <c r="R47" i="7"/>
  <c r="Q47" i="7"/>
  <c r="AC46" i="7"/>
  <c r="AB46" i="7"/>
  <c r="AA46" i="7"/>
  <c r="Z46" i="7"/>
  <c r="Y46" i="7"/>
  <c r="X46" i="7"/>
  <c r="T46" i="7"/>
  <c r="S46" i="7"/>
  <c r="R46" i="7"/>
  <c r="Q46" i="7"/>
  <c r="AC45" i="7"/>
  <c r="AB45" i="7"/>
  <c r="AA45" i="7"/>
  <c r="Z45" i="7"/>
  <c r="Y45" i="7"/>
  <c r="X45" i="7"/>
  <c r="T45" i="7"/>
  <c r="S45" i="7"/>
  <c r="R45" i="7"/>
  <c r="Q45" i="7"/>
  <c r="AC44" i="7"/>
  <c r="AB44" i="7"/>
  <c r="AA44" i="7"/>
  <c r="Z44" i="7"/>
  <c r="Y44" i="7"/>
  <c r="X44" i="7"/>
  <c r="T44" i="7"/>
  <c r="S44" i="7"/>
  <c r="R44" i="7"/>
  <c r="Q44" i="7"/>
  <c r="AC43" i="7"/>
  <c r="AB43" i="7"/>
  <c r="AA43" i="7"/>
  <c r="Z43" i="7"/>
  <c r="Y43" i="7"/>
  <c r="X43" i="7"/>
  <c r="T43" i="7"/>
  <c r="S43" i="7"/>
  <c r="R43" i="7"/>
  <c r="Q43" i="7"/>
  <c r="AC42" i="7"/>
  <c r="AB42" i="7"/>
  <c r="AA42" i="7"/>
  <c r="Z42" i="7"/>
  <c r="Y42" i="7"/>
  <c r="X42" i="7"/>
  <c r="T42" i="7"/>
  <c r="S42" i="7"/>
  <c r="R42" i="7"/>
  <c r="Q42" i="7"/>
  <c r="AC41" i="7"/>
  <c r="AB41" i="7"/>
  <c r="AA41" i="7"/>
  <c r="Z41" i="7"/>
  <c r="Y41" i="7"/>
  <c r="X41" i="7"/>
  <c r="T41" i="7"/>
  <c r="S41" i="7"/>
  <c r="R41" i="7"/>
  <c r="Q41" i="7"/>
  <c r="AC40" i="7"/>
  <c r="AB40" i="7"/>
  <c r="AA40" i="7"/>
  <c r="Z40" i="7"/>
  <c r="Y40" i="7"/>
  <c r="X40" i="7"/>
  <c r="T40" i="7"/>
  <c r="S40" i="7"/>
  <c r="R40" i="7"/>
  <c r="Q40" i="7"/>
  <c r="AC39" i="7"/>
  <c r="AB39" i="7"/>
  <c r="AA39" i="7"/>
  <c r="Z39" i="7"/>
  <c r="Y39" i="7"/>
  <c r="X39" i="7"/>
  <c r="T39" i="7"/>
  <c r="S39" i="7"/>
  <c r="R39" i="7"/>
  <c r="Q39" i="7"/>
  <c r="AC38" i="7"/>
  <c r="AB38" i="7"/>
  <c r="AA38" i="7"/>
  <c r="Z38" i="7"/>
  <c r="Y38" i="7"/>
  <c r="X38" i="7"/>
  <c r="T38" i="7"/>
  <c r="S38" i="7"/>
  <c r="R38" i="7"/>
  <c r="Q38" i="7"/>
  <c r="AC37" i="7"/>
  <c r="AB37" i="7"/>
  <c r="AA37" i="7"/>
  <c r="Z37" i="7"/>
  <c r="Y37" i="7"/>
  <c r="X37" i="7"/>
  <c r="T37" i="7"/>
  <c r="S37" i="7"/>
  <c r="R37" i="7"/>
  <c r="Q37" i="7"/>
  <c r="AC36" i="7"/>
  <c r="AB36" i="7"/>
  <c r="AA36" i="7"/>
  <c r="Z36" i="7"/>
  <c r="Y36" i="7"/>
  <c r="X36" i="7"/>
  <c r="T36" i="7"/>
  <c r="S36" i="7"/>
  <c r="R36" i="7"/>
  <c r="Q36" i="7"/>
  <c r="AC35" i="7"/>
  <c r="AB35" i="7"/>
  <c r="AA35" i="7"/>
  <c r="Z35" i="7"/>
  <c r="Y35" i="7"/>
  <c r="X35" i="7"/>
  <c r="T35" i="7"/>
  <c r="S35" i="7"/>
  <c r="R35" i="7"/>
  <c r="Q35" i="7"/>
  <c r="AC34" i="7"/>
  <c r="AB34" i="7"/>
  <c r="AA34" i="7"/>
  <c r="Z34" i="7"/>
  <c r="Y34" i="7"/>
  <c r="X34" i="7"/>
  <c r="T34" i="7"/>
  <c r="S34" i="7"/>
  <c r="R34" i="7"/>
  <c r="Q34" i="7"/>
  <c r="AC33" i="7"/>
  <c r="AB33" i="7"/>
  <c r="AA33" i="7"/>
  <c r="Z33" i="7"/>
  <c r="Y33" i="7"/>
  <c r="X33" i="7"/>
  <c r="T33" i="7"/>
  <c r="S33" i="7"/>
  <c r="R33" i="7"/>
  <c r="Q33" i="7"/>
  <c r="AC32" i="7"/>
  <c r="AB32" i="7"/>
  <c r="AA32" i="7"/>
  <c r="Z32" i="7"/>
  <c r="Y32" i="7"/>
  <c r="X32" i="7"/>
  <c r="T32" i="7"/>
  <c r="S32" i="7"/>
  <c r="R32" i="7"/>
  <c r="Q32" i="7"/>
  <c r="AC31" i="7"/>
  <c r="AB31" i="7"/>
  <c r="AA31" i="7"/>
  <c r="Z31" i="7"/>
  <c r="Y31" i="7"/>
  <c r="X31" i="7"/>
  <c r="T31" i="7"/>
  <c r="S31" i="7"/>
  <c r="R31" i="7"/>
  <c r="Q31" i="7"/>
  <c r="AC30" i="7"/>
  <c r="AB30" i="7"/>
  <c r="AA30" i="7"/>
  <c r="Z30" i="7"/>
  <c r="Y30" i="7"/>
  <c r="X30" i="7"/>
  <c r="T30" i="7"/>
  <c r="S30" i="7"/>
  <c r="R30" i="7"/>
  <c r="Q30" i="7"/>
  <c r="AC29" i="7"/>
  <c r="AB29" i="7"/>
  <c r="AA29" i="7"/>
  <c r="Z29" i="7"/>
  <c r="Y29" i="7"/>
  <c r="X29" i="7"/>
  <c r="T29" i="7"/>
  <c r="S29" i="7"/>
  <c r="R29" i="7"/>
  <c r="Q29" i="7"/>
  <c r="AC28" i="7"/>
  <c r="AB28" i="7"/>
  <c r="AA28" i="7"/>
  <c r="Z28" i="7"/>
  <c r="Y28" i="7"/>
  <c r="X28" i="7"/>
  <c r="T28" i="7"/>
  <c r="S28" i="7"/>
  <c r="R28" i="7"/>
  <c r="Q28" i="7"/>
  <c r="AC27" i="7"/>
  <c r="AB27" i="7"/>
  <c r="AA27" i="7"/>
  <c r="Z27" i="7"/>
  <c r="Y27" i="7"/>
  <c r="X27" i="7"/>
  <c r="T27" i="7"/>
  <c r="S27" i="7"/>
  <c r="R27" i="7"/>
  <c r="Q27" i="7"/>
  <c r="AC26" i="7"/>
  <c r="AB26" i="7"/>
  <c r="AA26" i="7"/>
  <c r="Z26" i="7"/>
  <c r="Y26" i="7"/>
  <c r="X26" i="7"/>
  <c r="T26" i="7"/>
  <c r="S26" i="7"/>
  <c r="R26" i="7"/>
  <c r="Q26" i="7"/>
  <c r="AC25" i="7"/>
  <c r="AB25" i="7"/>
  <c r="AA25" i="7"/>
  <c r="Z25" i="7"/>
  <c r="Y25" i="7"/>
  <c r="X25" i="7"/>
  <c r="T25" i="7"/>
  <c r="S25" i="7"/>
  <c r="R25" i="7"/>
  <c r="Q25" i="7"/>
  <c r="AC24" i="7"/>
  <c r="AB24" i="7"/>
  <c r="AA24" i="7"/>
  <c r="Z24" i="7"/>
  <c r="Y24" i="7"/>
  <c r="X24" i="7"/>
  <c r="T24" i="7"/>
  <c r="S24" i="7"/>
  <c r="R24" i="7"/>
  <c r="Q24" i="7"/>
  <c r="AC23" i="7"/>
  <c r="AB23" i="7"/>
  <c r="AA23" i="7"/>
  <c r="Z23" i="7"/>
  <c r="Y23" i="7"/>
  <c r="X23" i="7"/>
  <c r="T23" i="7"/>
  <c r="S23" i="7"/>
  <c r="R23" i="7"/>
  <c r="Q23" i="7"/>
  <c r="AC22" i="7"/>
  <c r="AB22" i="7"/>
  <c r="AA22" i="7"/>
  <c r="Z22" i="7"/>
  <c r="Y22" i="7"/>
  <c r="X22" i="7"/>
  <c r="T22" i="7"/>
  <c r="S22" i="7"/>
  <c r="R22" i="7"/>
  <c r="Q22" i="7"/>
  <c r="AC21" i="7"/>
  <c r="AB21" i="7"/>
  <c r="AA21" i="7"/>
  <c r="Z21" i="7"/>
  <c r="Y21" i="7"/>
  <c r="X21" i="7"/>
  <c r="T21" i="7"/>
  <c r="S21" i="7"/>
  <c r="R21" i="7"/>
  <c r="Q21" i="7"/>
  <c r="AC20" i="7"/>
  <c r="AB20" i="7"/>
  <c r="AA20" i="7"/>
  <c r="Z20" i="7"/>
  <c r="Y20" i="7"/>
  <c r="X20" i="7"/>
  <c r="T20" i="7"/>
  <c r="S20" i="7"/>
  <c r="R20" i="7"/>
  <c r="Q20" i="7"/>
  <c r="AC19" i="7"/>
  <c r="AB19" i="7"/>
  <c r="AA19" i="7"/>
  <c r="Z19" i="7"/>
  <c r="Y19" i="7"/>
  <c r="X19" i="7"/>
  <c r="T19" i="7"/>
  <c r="S19" i="7"/>
  <c r="R19" i="7"/>
  <c r="Q19" i="7"/>
  <c r="AC18" i="7"/>
  <c r="AB18" i="7"/>
  <c r="AA18" i="7"/>
  <c r="Z18" i="7"/>
  <c r="Y18" i="7"/>
  <c r="X18" i="7"/>
  <c r="T18" i="7"/>
  <c r="S18" i="7"/>
  <c r="R18" i="7"/>
  <c r="Q18" i="7"/>
  <c r="AC17" i="7"/>
  <c r="AB17" i="7"/>
  <c r="AA17" i="7"/>
  <c r="Z17" i="7"/>
  <c r="Y17" i="7"/>
  <c r="X17" i="7"/>
  <c r="T17" i="7"/>
  <c r="S17" i="7"/>
  <c r="R17" i="7"/>
  <c r="Q17" i="7"/>
  <c r="AC16" i="7"/>
  <c r="AB16" i="7"/>
  <c r="AA16" i="7"/>
  <c r="Z16" i="7"/>
  <c r="Y16" i="7"/>
  <c r="X16" i="7"/>
  <c r="T16" i="7"/>
  <c r="S16" i="7"/>
  <c r="R16" i="7"/>
  <c r="Q16" i="7"/>
  <c r="AC15" i="7"/>
  <c r="AB15" i="7"/>
  <c r="AA15" i="7"/>
  <c r="Z15" i="7"/>
  <c r="Y15" i="7"/>
  <c r="X15" i="7"/>
  <c r="T15" i="7"/>
  <c r="S15" i="7"/>
  <c r="R15" i="7"/>
  <c r="Q15" i="7"/>
  <c r="AC14" i="7"/>
  <c r="AB14" i="7"/>
  <c r="AA14" i="7"/>
  <c r="Z14" i="7"/>
  <c r="Y14" i="7"/>
  <c r="X14" i="7"/>
  <c r="T14" i="7"/>
  <c r="S14" i="7"/>
  <c r="R14" i="7"/>
  <c r="Q14" i="7"/>
  <c r="AC13" i="7"/>
  <c r="AB13" i="7"/>
  <c r="AA13" i="7"/>
  <c r="Z13" i="7"/>
  <c r="Y13" i="7"/>
  <c r="X13" i="7"/>
  <c r="T13" i="7"/>
  <c r="S13" i="7"/>
  <c r="R13" i="7"/>
  <c r="Q13" i="7"/>
  <c r="AC12" i="7"/>
  <c r="AB12" i="7"/>
  <c r="AA12" i="7"/>
  <c r="Z12" i="7"/>
  <c r="Y12" i="7"/>
  <c r="X12" i="7"/>
  <c r="T12" i="7"/>
  <c r="S12" i="7"/>
  <c r="R12" i="7"/>
  <c r="Q12" i="7"/>
  <c r="AC11" i="7"/>
  <c r="AB11" i="7"/>
  <c r="AA11" i="7"/>
  <c r="Z11" i="7"/>
  <c r="Y11" i="7"/>
  <c r="X11" i="7"/>
  <c r="T11" i="7"/>
  <c r="S11" i="7"/>
  <c r="R11" i="7"/>
  <c r="Q11" i="7"/>
  <c r="AC10" i="7"/>
  <c r="AB10" i="7"/>
  <c r="AA10" i="7"/>
  <c r="Z10" i="7"/>
  <c r="Y10" i="7"/>
  <c r="X10" i="7"/>
  <c r="T10" i="7"/>
  <c r="S10" i="7"/>
  <c r="R10" i="7"/>
  <c r="Q10" i="7"/>
  <c r="AC9" i="7"/>
  <c r="AB9" i="7"/>
  <c r="AA9" i="7"/>
  <c r="Z9" i="7"/>
  <c r="Y9" i="7"/>
  <c r="X9" i="7"/>
  <c r="T9" i="7"/>
  <c r="S9" i="7"/>
  <c r="R9" i="7"/>
  <c r="Q9" i="7"/>
  <c r="AC8" i="7"/>
  <c r="AB8" i="7"/>
  <c r="AA8" i="7"/>
  <c r="Z8" i="7"/>
  <c r="Y8" i="7"/>
  <c r="X8" i="7"/>
  <c r="T8" i="7"/>
  <c r="S8" i="7"/>
  <c r="R8" i="7"/>
  <c r="Q8" i="7"/>
  <c r="AC7" i="7"/>
  <c r="AB7" i="7"/>
  <c r="AA7" i="7"/>
  <c r="Z7" i="7"/>
  <c r="Y7" i="7"/>
  <c r="X7" i="7"/>
  <c r="T7" i="7"/>
  <c r="S7" i="7"/>
  <c r="R7" i="7"/>
  <c r="Q7" i="7"/>
  <c r="AC6" i="7"/>
  <c r="AB6" i="7"/>
  <c r="AA6" i="7"/>
  <c r="Z6" i="7"/>
  <c r="Y6" i="7"/>
  <c r="X6" i="7"/>
  <c r="T6" i="7"/>
  <c r="S6" i="7"/>
  <c r="R6" i="7"/>
  <c r="Q6" i="7"/>
  <c r="AC5" i="7"/>
  <c r="AB5" i="7"/>
  <c r="AA5" i="7"/>
  <c r="Z5" i="7"/>
  <c r="Y5" i="7"/>
  <c r="X5" i="7"/>
  <c r="T5" i="7"/>
  <c r="S5" i="7"/>
  <c r="R5" i="7"/>
  <c r="Q5" i="7"/>
  <c r="AC4" i="7"/>
  <c r="AB4" i="7"/>
  <c r="AA4" i="7"/>
  <c r="Z4" i="7"/>
  <c r="Y4" i="7"/>
  <c r="X4" i="7"/>
  <c r="T4" i="7"/>
  <c r="S4" i="7"/>
  <c r="R4" i="7"/>
  <c r="Q4" i="7"/>
  <c r="AC3" i="7"/>
  <c r="AB3" i="7"/>
  <c r="AA3" i="7"/>
  <c r="Z3" i="7"/>
  <c r="Y3" i="7"/>
  <c r="X3" i="7"/>
  <c r="T3" i="7"/>
  <c r="S3" i="7"/>
  <c r="R3" i="7"/>
  <c r="Q3" i="7"/>
  <c r="AC2" i="7"/>
  <c r="AB2" i="7"/>
  <c r="AA2" i="7"/>
  <c r="Z2" i="7"/>
  <c r="Y2" i="7"/>
  <c r="X2" i="7"/>
  <c r="T2" i="7"/>
  <c r="S2" i="7"/>
  <c r="R2" i="7"/>
  <c r="Q2" i="7"/>
  <c r="G133" i="24"/>
  <c r="F133" i="24"/>
  <c r="G132" i="24"/>
  <c r="F132" i="24"/>
  <c r="G130" i="24"/>
  <c r="F130" i="24"/>
  <c r="G129" i="24"/>
  <c r="F129" i="24"/>
  <c r="G127" i="24"/>
  <c r="F127" i="24"/>
  <c r="G126" i="24"/>
  <c r="F126" i="24"/>
  <c r="G124" i="24"/>
  <c r="F124" i="24"/>
  <c r="G123" i="24"/>
  <c r="F123" i="24"/>
  <c r="G121" i="24"/>
  <c r="F121" i="24"/>
  <c r="G120" i="24"/>
  <c r="F120" i="24"/>
  <c r="G118" i="24"/>
  <c r="F118" i="24"/>
  <c r="G117" i="24"/>
  <c r="F117" i="24"/>
  <c r="G115" i="24"/>
  <c r="F115" i="24"/>
  <c r="G114" i="24"/>
  <c r="F114" i="24"/>
  <c r="G112" i="24"/>
  <c r="F112" i="24"/>
  <c r="G111" i="24"/>
  <c r="F111" i="24"/>
  <c r="G109" i="24"/>
  <c r="F109" i="24"/>
  <c r="G108" i="24"/>
  <c r="F108" i="24"/>
  <c r="G106" i="24"/>
  <c r="F106" i="24"/>
  <c r="G105" i="24"/>
  <c r="F105" i="24"/>
  <c r="G103" i="24"/>
  <c r="F103" i="24"/>
  <c r="G102" i="24"/>
  <c r="F102" i="24"/>
  <c r="G100" i="24"/>
  <c r="F100" i="24"/>
  <c r="G99" i="24"/>
  <c r="F99" i="24"/>
  <c r="G97" i="24"/>
  <c r="F97" i="24"/>
  <c r="G96" i="24"/>
  <c r="F96" i="24"/>
  <c r="G94" i="24"/>
  <c r="F94" i="24"/>
  <c r="G93" i="24"/>
  <c r="F93" i="24"/>
  <c r="G91" i="24"/>
  <c r="F91" i="24"/>
  <c r="G90" i="24"/>
  <c r="F90" i="24"/>
  <c r="G88" i="24"/>
  <c r="F88" i="24"/>
  <c r="G87" i="24"/>
  <c r="F87" i="24"/>
  <c r="G85" i="24"/>
  <c r="F85" i="24"/>
  <c r="G84" i="24"/>
  <c r="F84" i="24"/>
  <c r="G82" i="24"/>
  <c r="F82" i="24"/>
  <c r="G81" i="24"/>
  <c r="F81" i="24"/>
  <c r="G79" i="24"/>
  <c r="F79" i="24"/>
  <c r="G78" i="24"/>
  <c r="F78" i="24"/>
  <c r="G76" i="24"/>
  <c r="F76" i="24"/>
  <c r="G75" i="24"/>
  <c r="F75" i="24"/>
  <c r="G73" i="24"/>
  <c r="F73" i="24"/>
  <c r="G72" i="24"/>
  <c r="F72" i="24"/>
  <c r="G70" i="24"/>
  <c r="F70" i="24"/>
  <c r="G69" i="24"/>
  <c r="F69" i="24"/>
  <c r="G67" i="24"/>
  <c r="F67" i="24"/>
  <c r="G66" i="24"/>
  <c r="F66" i="24"/>
  <c r="G64" i="24"/>
  <c r="F64" i="24"/>
  <c r="G63" i="24"/>
  <c r="F63" i="24"/>
  <c r="G61" i="24"/>
  <c r="F61" i="24"/>
  <c r="G60" i="24"/>
  <c r="F60" i="24"/>
  <c r="G58" i="24"/>
  <c r="F58" i="24"/>
  <c r="G57" i="24"/>
  <c r="F57" i="24"/>
  <c r="G55" i="24"/>
  <c r="F55" i="24"/>
  <c r="G54" i="24"/>
  <c r="F54" i="24"/>
  <c r="G52" i="24"/>
  <c r="F52" i="24"/>
  <c r="G51" i="24"/>
  <c r="F51" i="24"/>
  <c r="G49" i="24"/>
  <c r="F49" i="24"/>
  <c r="G48" i="24"/>
  <c r="F48" i="24"/>
  <c r="G46" i="24"/>
  <c r="F46" i="24"/>
  <c r="G45" i="24"/>
  <c r="F45" i="24"/>
  <c r="G43" i="24"/>
  <c r="F43" i="24"/>
  <c r="G42" i="24"/>
  <c r="F42" i="24"/>
  <c r="G40" i="24"/>
  <c r="F40" i="24"/>
  <c r="G39" i="24"/>
  <c r="F39" i="24"/>
  <c r="G37" i="24"/>
  <c r="F37" i="24"/>
  <c r="G36" i="24"/>
  <c r="F36" i="24"/>
  <c r="B35" i="24"/>
  <c r="G34" i="24"/>
  <c r="F34" i="24"/>
  <c r="G33" i="24"/>
  <c r="F33" i="24"/>
  <c r="G31" i="24"/>
  <c r="F31" i="24"/>
  <c r="G30" i="24"/>
  <c r="F30" i="24"/>
  <c r="G28" i="24"/>
  <c r="F28" i="24"/>
  <c r="G27" i="24"/>
  <c r="F27" i="24"/>
  <c r="G25" i="24"/>
  <c r="F25" i="24"/>
  <c r="G24" i="24"/>
  <c r="F24" i="24"/>
  <c r="G22" i="24"/>
  <c r="F22" i="24"/>
  <c r="G21" i="24"/>
  <c r="F21" i="24"/>
  <c r="G19" i="24"/>
  <c r="F19" i="24"/>
  <c r="G18" i="24"/>
  <c r="F18" i="24"/>
  <c r="G16" i="24"/>
  <c r="F16" i="24"/>
  <c r="G15" i="24"/>
  <c r="F15" i="24"/>
  <c r="G13" i="24"/>
  <c r="F13" i="24"/>
  <c r="G12" i="24"/>
  <c r="F12" i="24"/>
  <c r="G10" i="24"/>
  <c r="F10" i="24"/>
  <c r="G9" i="24"/>
  <c r="F9" i="24"/>
  <c r="G7" i="24"/>
  <c r="F7" i="24"/>
  <c r="G6" i="24"/>
  <c r="F6" i="24"/>
  <c r="G4" i="24"/>
  <c r="F4" i="24"/>
  <c r="G3" i="24"/>
  <c r="F3" i="24"/>
  <c r="G1" i="24"/>
  <c r="F1" i="24"/>
  <c r="E1" i="24"/>
  <c r="D1" i="24"/>
  <c r="C1" i="24"/>
  <c r="B1" i="24"/>
  <c r="A1" i="24"/>
  <c r="C94" i="25"/>
  <c r="K93" i="25"/>
  <c r="J93" i="25"/>
  <c r="I93" i="25"/>
  <c r="H93" i="25"/>
  <c r="E93" i="25"/>
  <c r="D93" i="25"/>
  <c r="C93" i="25"/>
  <c r="K92" i="25"/>
  <c r="J92" i="25"/>
  <c r="I92" i="25"/>
  <c r="H92" i="25"/>
  <c r="E92" i="25"/>
  <c r="D92" i="25"/>
  <c r="C92" i="25"/>
  <c r="K91" i="25"/>
  <c r="J91" i="25"/>
  <c r="I91" i="25"/>
  <c r="H91" i="25"/>
  <c r="E91" i="25"/>
  <c r="D91" i="25"/>
  <c r="C91" i="25"/>
  <c r="AL11" i="25"/>
  <c r="AK11" i="25"/>
  <c r="AJ11" i="25"/>
  <c r="K90" i="25"/>
  <c r="J90" i="25"/>
  <c r="I90" i="25"/>
  <c r="H90" i="25"/>
  <c r="E90" i="25"/>
  <c r="D90" i="25"/>
  <c r="C90" i="25"/>
  <c r="AL10" i="25"/>
  <c r="AK10" i="25"/>
  <c r="AJ10" i="25"/>
  <c r="K89" i="25"/>
  <c r="J89" i="25"/>
  <c r="I89" i="25"/>
  <c r="H89" i="25"/>
  <c r="E89" i="25"/>
  <c r="D89" i="25"/>
  <c r="C89" i="25"/>
  <c r="AL9" i="25"/>
  <c r="AK9" i="25"/>
  <c r="AJ9" i="25"/>
  <c r="K88" i="25"/>
  <c r="J88" i="25"/>
  <c r="I88" i="25"/>
  <c r="H88" i="25"/>
  <c r="E88" i="25"/>
  <c r="D88" i="25"/>
  <c r="C88" i="25"/>
  <c r="AL8" i="25"/>
  <c r="AK8" i="25"/>
  <c r="AJ8" i="25"/>
  <c r="K87" i="25"/>
  <c r="J87" i="25"/>
  <c r="I87" i="25"/>
  <c r="H87" i="25"/>
  <c r="E87" i="25"/>
  <c r="D87" i="25"/>
  <c r="C87" i="25"/>
  <c r="AI7" i="25"/>
  <c r="K86" i="25"/>
  <c r="J86" i="25"/>
  <c r="I86" i="25"/>
  <c r="H86" i="25"/>
  <c r="E86" i="25"/>
  <c r="D86" i="25"/>
  <c r="C86" i="25"/>
  <c r="K85" i="25"/>
  <c r="J85" i="25"/>
  <c r="I85" i="25"/>
  <c r="H85" i="25"/>
  <c r="E85" i="25"/>
  <c r="D85" i="25"/>
  <c r="C85" i="25"/>
  <c r="K84" i="25"/>
  <c r="J84" i="25"/>
  <c r="I84" i="25"/>
  <c r="H84" i="25"/>
  <c r="E84" i="25"/>
  <c r="D84" i="25"/>
  <c r="C84" i="25"/>
  <c r="AK4" i="25"/>
  <c r="K83" i="25"/>
  <c r="J83" i="25"/>
  <c r="I83" i="25"/>
  <c r="H83" i="25"/>
  <c r="E83" i="25"/>
  <c r="D83" i="25"/>
  <c r="C83" i="25"/>
  <c r="AK3" i="25"/>
  <c r="AI3" i="25"/>
  <c r="K82" i="25"/>
  <c r="J82" i="25"/>
  <c r="I82" i="25"/>
  <c r="H82" i="25"/>
  <c r="E82" i="25"/>
  <c r="D82" i="25"/>
  <c r="C82" i="25"/>
  <c r="AI2" i="25"/>
  <c r="K81" i="25"/>
  <c r="J81" i="25"/>
  <c r="I81" i="25"/>
  <c r="H81" i="25"/>
  <c r="D81" i="25"/>
  <c r="C81" i="25"/>
  <c r="K80" i="25"/>
  <c r="J80" i="25"/>
  <c r="I80" i="25"/>
  <c r="H80" i="25"/>
  <c r="E80" i="25"/>
  <c r="D80" i="25"/>
  <c r="C80" i="25"/>
  <c r="K79" i="25"/>
  <c r="J79" i="25"/>
  <c r="I79" i="25"/>
  <c r="H79" i="25"/>
  <c r="D79" i="25"/>
  <c r="C79" i="25"/>
  <c r="K78" i="25"/>
  <c r="J78" i="25"/>
  <c r="I78" i="25"/>
  <c r="H78" i="25"/>
  <c r="E78" i="25"/>
  <c r="D78" i="25"/>
  <c r="C78" i="25"/>
  <c r="K77" i="25"/>
  <c r="J77" i="25"/>
  <c r="I77" i="25"/>
  <c r="H77" i="25"/>
  <c r="K76" i="25"/>
  <c r="J76" i="25"/>
  <c r="I76" i="25"/>
  <c r="H76" i="25"/>
  <c r="K75" i="25"/>
  <c r="J75" i="25"/>
  <c r="I75" i="25"/>
  <c r="H75" i="25"/>
  <c r="AE12" i="25"/>
  <c r="K74" i="25"/>
  <c r="J74" i="25"/>
  <c r="I74" i="25"/>
  <c r="H74" i="25"/>
  <c r="E74" i="25"/>
  <c r="D74" i="25"/>
  <c r="C74" i="25"/>
  <c r="AG11" i="25"/>
  <c r="AE11" i="25"/>
  <c r="K73" i="25"/>
  <c r="J73" i="25"/>
  <c r="I73" i="25"/>
  <c r="H73" i="25"/>
  <c r="E73" i="25"/>
  <c r="D73" i="25"/>
  <c r="C73" i="25"/>
  <c r="B73" i="25"/>
  <c r="AE10" i="25"/>
  <c r="K72" i="25"/>
  <c r="J72" i="25"/>
  <c r="H72" i="25"/>
  <c r="E72" i="25"/>
  <c r="D72" i="25"/>
  <c r="C72" i="25"/>
  <c r="AG9" i="25"/>
  <c r="AE9" i="25"/>
  <c r="K71" i="25"/>
  <c r="J71" i="25"/>
  <c r="H71" i="25"/>
  <c r="E71" i="25"/>
  <c r="D71" i="25"/>
  <c r="C71" i="25"/>
  <c r="B71" i="25"/>
  <c r="K70" i="25"/>
  <c r="J70" i="25"/>
  <c r="E70" i="25"/>
  <c r="D70" i="25"/>
  <c r="C70" i="25"/>
  <c r="H69" i="25"/>
  <c r="E69" i="25"/>
  <c r="D69" i="25"/>
  <c r="C69" i="25"/>
  <c r="B69" i="25"/>
  <c r="E68" i="25"/>
  <c r="D68" i="25"/>
  <c r="C68" i="25"/>
  <c r="AD5" i="25"/>
  <c r="E67" i="25"/>
  <c r="D67" i="25"/>
  <c r="C67" i="25"/>
  <c r="B67" i="25"/>
  <c r="K66" i="25"/>
  <c r="J66" i="25"/>
  <c r="E66" i="25"/>
  <c r="D66" i="25"/>
  <c r="C66" i="25"/>
  <c r="AD3" i="25"/>
  <c r="J65" i="25"/>
  <c r="H65" i="25"/>
  <c r="E65" i="25"/>
  <c r="D65" i="25"/>
  <c r="C65" i="25"/>
  <c r="B65" i="25"/>
  <c r="AD2" i="25"/>
  <c r="K64" i="25"/>
  <c r="J64" i="25"/>
  <c r="E64" i="25"/>
  <c r="D64" i="25"/>
  <c r="C64" i="25"/>
  <c r="J63" i="25"/>
  <c r="H63" i="25"/>
  <c r="E63" i="25"/>
  <c r="D63" i="25"/>
  <c r="C63" i="25"/>
  <c r="B63" i="25"/>
  <c r="K62" i="25"/>
  <c r="J62" i="25"/>
  <c r="E62" i="25"/>
  <c r="D62" i="25"/>
  <c r="C62" i="25"/>
  <c r="J61" i="25"/>
  <c r="H61" i="25"/>
  <c r="E61" i="25"/>
  <c r="D61" i="25"/>
  <c r="C61" i="25"/>
  <c r="B61" i="25"/>
  <c r="K60" i="25"/>
  <c r="J60" i="25"/>
  <c r="E60" i="25"/>
  <c r="D60" i="25"/>
  <c r="C60" i="25"/>
  <c r="J59" i="25"/>
  <c r="H59" i="25"/>
  <c r="E59" i="25"/>
  <c r="D59" i="25"/>
  <c r="C59" i="25"/>
  <c r="B59" i="25"/>
  <c r="AB21" i="25"/>
  <c r="AA21" i="25"/>
  <c r="Z21" i="25"/>
  <c r="K58" i="25"/>
  <c r="J58" i="25"/>
  <c r="E58" i="25"/>
  <c r="D58" i="25"/>
  <c r="C58" i="25"/>
  <c r="AB20" i="25"/>
  <c r="AA20" i="25"/>
  <c r="Z20" i="25"/>
  <c r="J57" i="25"/>
  <c r="H57" i="25"/>
  <c r="E57" i="25"/>
  <c r="D57" i="25"/>
  <c r="C57" i="25"/>
  <c r="B57" i="25"/>
  <c r="AB19" i="25"/>
  <c r="AA19" i="25"/>
  <c r="Z19" i="25"/>
  <c r="K56" i="25"/>
  <c r="J56" i="25"/>
  <c r="E56" i="25"/>
  <c r="D56" i="25"/>
  <c r="C56" i="25"/>
  <c r="AA18" i="25"/>
  <c r="Z18" i="25"/>
  <c r="J55" i="25"/>
  <c r="H55" i="25"/>
  <c r="E55" i="25"/>
  <c r="D55" i="25"/>
  <c r="C55" i="25"/>
  <c r="B55" i="25"/>
  <c r="AB17" i="25"/>
  <c r="AA17" i="25"/>
  <c r="Z17" i="25"/>
  <c r="K54" i="25"/>
  <c r="J54" i="25"/>
  <c r="E54" i="25"/>
  <c r="D54" i="25"/>
  <c r="C54" i="25"/>
  <c r="AB16" i="25"/>
  <c r="AA16" i="25"/>
  <c r="Z16" i="25"/>
  <c r="J53" i="25"/>
  <c r="H53" i="25"/>
  <c r="E53" i="25"/>
  <c r="D53" i="25"/>
  <c r="C53" i="25"/>
  <c r="B53" i="25"/>
  <c r="AB15" i="25"/>
  <c r="AA15" i="25"/>
  <c r="Z15" i="25"/>
  <c r="K52" i="25"/>
  <c r="J52" i="25"/>
  <c r="E52" i="25"/>
  <c r="D52" i="25"/>
  <c r="C52" i="25"/>
  <c r="AB14" i="25"/>
  <c r="AA14" i="25"/>
  <c r="Z14" i="25"/>
  <c r="J51" i="25"/>
  <c r="H51" i="25"/>
  <c r="E51" i="25"/>
  <c r="D51" i="25"/>
  <c r="C51" i="25"/>
  <c r="B51" i="25"/>
  <c r="K50" i="25"/>
  <c r="J50" i="25"/>
  <c r="E50" i="25"/>
  <c r="D50" i="25"/>
  <c r="C50" i="25"/>
  <c r="J49" i="25"/>
  <c r="H49" i="25"/>
  <c r="E49" i="25"/>
  <c r="D49" i="25"/>
  <c r="C49" i="25"/>
  <c r="B49" i="25"/>
  <c r="Q48" i="25"/>
  <c r="P48" i="25"/>
  <c r="O48" i="25"/>
  <c r="K48" i="25"/>
  <c r="J48" i="25"/>
  <c r="E48" i="25"/>
  <c r="D48" i="25"/>
  <c r="C48" i="25"/>
  <c r="AB10" i="25"/>
  <c r="Q47" i="25"/>
  <c r="P47" i="25"/>
  <c r="O47" i="25"/>
  <c r="J47" i="25"/>
  <c r="H47" i="25"/>
  <c r="E47" i="25"/>
  <c r="D47" i="25"/>
  <c r="C47" i="25"/>
  <c r="B47" i="25"/>
  <c r="Y9" i="25"/>
  <c r="Q46" i="25"/>
  <c r="P46" i="25"/>
  <c r="O46" i="25"/>
  <c r="K46" i="25"/>
  <c r="J46" i="25"/>
  <c r="E46" i="25"/>
  <c r="D46" i="25"/>
  <c r="C46" i="25"/>
  <c r="AB8" i="25"/>
  <c r="Q45" i="25"/>
  <c r="P45" i="25"/>
  <c r="O45" i="25"/>
  <c r="J45" i="25"/>
  <c r="H45" i="25"/>
  <c r="E45" i="25"/>
  <c r="D45" i="25"/>
  <c r="C45" i="25"/>
  <c r="B45" i="25"/>
  <c r="Y7" i="25"/>
  <c r="Q44" i="25"/>
  <c r="P44" i="25"/>
  <c r="O44" i="25"/>
  <c r="K44" i="25"/>
  <c r="J44" i="25"/>
  <c r="E44" i="25"/>
  <c r="D44" i="25"/>
  <c r="C44" i="25"/>
  <c r="AB6" i="25"/>
  <c r="Q43" i="25"/>
  <c r="P43" i="25"/>
  <c r="O43" i="25"/>
  <c r="J43" i="25"/>
  <c r="H43" i="25"/>
  <c r="E43" i="25"/>
  <c r="D43" i="25"/>
  <c r="C43" i="25"/>
  <c r="B43" i="25"/>
  <c r="Y5" i="25"/>
  <c r="Q42" i="25"/>
  <c r="P42" i="25"/>
  <c r="O42" i="25"/>
  <c r="K42" i="25"/>
  <c r="J42" i="25"/>
  <c r="E42" i="25"/>
  <c r="D42" i="25"/>
  <c r="C42" i="25"/>
  <c r="AB4" i="25"/>
  <c r="Q41" i="25"/>
  <c r="P41" i="25"/>
  <c r="O41" i="25"/>
  <c r="J41" i="25"/>
  <c r="H41" i="25"/>
  <c r="E41" i="25"/>
  <c r="D41" i="25"/>
  <c r="C41" i="25"/>
  <c r="B41" i="25"/>
  <c r="Y3" i="25"/>
  <c r="Q40" i="25"/>
  <c r="K40" i="25"/>
  <c r="J40" i="25"/>
  <c r="E40" i="25"/>
  <c r="D40" i="25"/>
  <c r="C40" i="25"/>
  <c r="Y2" i="25"/>
  <c r="Q39" i="25"/>
  <c r="H39" i="25"/>
  <c r="E39" i="25"/>
  <c r="D39" i="25"/>
  <c r="C39" i="25"/>
  <c r="B39" i="25"/>
  <c r="K38" i="25"/>
  <c r="E38" i="25"/>
  <c r="D38" i="25"/>
  <c r="C38" i="25"/>
  <c r="Q37" i="25"/>
  <c r="H37" i="25"/>
  <c r="E37" i="25"/>
  <c r="D37" i="25"/>
  <c r="C37" i="25"/>
  <c r="B37" i="25"/>
  <c r="Q36" i="25"/>
  <c r="K36" i="25"/>
  <c r="I36" i="25"/>
  <c r="E36" i="25"/>
  <c r="D36" i="25"/>
  <c r="C36" i="25"/>
  <c r="Q35" i="25"/>
  <c r="J35" i="25"/>
  <c r="I35" i="25"/>
  <c r="H35" i="25"/>
  <c r="E35" i="25"/>
  <c r="D35" i="25"/>
  <c r="C35" i="25"/>
  <c r="B35" i="25"/>
  <c r="K34" i="25"/>
  <c r="J34" i="25"/>
  <c r="I34" i="25"/>
  <c r="E34" i="25"/>
  <c r="D34" i="25"/>
  <c r="C34" i="25"/>
  <c r="N33" i="25"/>
  <c r="J33" i="25"/>
  <c r="I33" i="25"/>
  <c r="H33" i="25"/>
  <c r="E33" i="25"/>
  <c r="D33" i="25"/>
  <c r="C33" i="25"/>
  <c r="B33" i="25"/>
  <c r="K32" i="25"/>
  <c r="I32" i="25"/>
  <c r="E32" i="25"/>
  <c r="D32" i="25"/>
  <c r="C32" i="25"/>
  <c r="N31" i="25"/>
  <c r="I31" i="25"/>
  <c r="H31" i="25"/>
  <c r="E31" i="25"/>
  <c r="D31" i="25"/>
  <c r="C31" i="25"/>
  <c r="B31" i="25"/>
  <c r="V30" i="25"/>
  <c r="U30" i="25"/>
  <c r="K30" i="25"/>
  <c r="J30" i="25"/>
  <c r="I30" i="25"/>
  <c r="E30" i="25"/>
  <c r="D30" i="25"/>
  <c r="C30" i="25"/>
  <c r="W29" i="25"/>
  <c r="V29" i="25"/>
  <c r="U29" i="25"/>
  <c r="N29" i="25"/>
  <c r="J29" i="25"/>
  <c r="I29" i="25"/>
  <c r="H29" i="25"/>
  <c r="E29" i="25"/>
  <c r="D29" i="25"/>
  <c r="C29" i="25"/>
  <c r="B29" i="25"/>
  <c r="V28" i="25"/>
  <c r="U28" i="25"/>
  <c r="K28" i="25"/>
  <c r="J28" i="25"/>
  <c r="I28" i="25"/>
  <c r="E28" i="25"/>
  <c r="D28" i="25"/>
  <c r="C28" i="25"/>
  <c r="W27" i="25"/>
  <c r="V27" i="25"/>
  <c r="U27" i="25"/>
  <c r="N27" i="25"/>
  <c r="J27" i="25"/>
  <c r="I27" i="25"/>
  <c r="H27" i="25"/>
  <c r="E27" i="25"/>
  <c r="D27" i="25"/>
  <c r="C27" i="25"/>
  <c r="B27" i="25"/>
  <c r="V26" i="25"/>
  <c r="U26" i="25"/>
  <c r="K26" i="25"/>
  <c r="J26" i="25"/>
  <c r="I26" i="25"/>
  <c r="E26" i="25"/>
  <c r="D26" i="25"/>
  <c r="C26" i="25"/>
  <c r="V25" i="25"/>
  <c r="U25" i="25"/>
  <c r="N25" i="25"/>
  <c r="J25" i="25"/>
  <c r="I25" i="25"/>
  <c r="H25" i="25"/>
  <c r="E25" i="25"/>
  <c r="D25" i="25"/>
  <c r="C25" i="25"/>
  <c r="B25" i="25"/>
  <c r="K24" i="25"/>
  <c r="J24" i="25"/>
  <c r="I24" i="25"/>
  <c r="E24" i="25"/>
  <c r="D24" i="25"/>
  <c r="C24" i="25"/>
  <c r="N23" i="25"/>
  <c r="J23" i="25"/>
  <c r="I23" i="25"/>
  <c r="H23" i="25"/>
  <c r="E23" i="25"/>
  <c r="D23" i="25"/>
  <c r="C23" i="25"/>
  <c r="B23" i="25"/>
  <c r="K22" i="25"/>
  <c r="J22" i="25"/>
  <c r="I22" i="25"/>
  <c r="E22" i="25"/>
  <c r="D22" i="25"/>
  <c r="C22" i="25"/>
  <c r="N21" i="25"/>
  <c r="J21" i="25"/>
  <c r="I21" i="25"/>
  <c r="H21" i="25"/>
  <c r="E21" i="25"/>
  <c r="D21" i="25"/>
  <c r="C21" i="25"/>
  <c r="B21" i="25"/>
  <c r="K20" i="25"/>
  <c r="J20" i="25"/>
  <c r="I20" i="25"/>
  <c r="E20" i="25"/>
  <c r="D20" i="25"/>
  <c r="C20" i="25"/>
  <c r="N19" i="25"/>
  <c r="J19" i="25"/>
  <c r="I19" i="25"/>
  <c r="H19" i="25"/>
  <c r="E19" i="25"/>
  <c r="D19" i="25"/>
  <c r="C19" i="25"/>
  <c r="B19" i="25"/>
  <c r="V18" i="25"/>
  <c r="K18" i="25"/>
  <c r="J18" i="25"/>
  <c r="I18" i="25"/>
  <c r="E18" i="25"/>
  <c r="D18" i="25"/>
  <c r="C18" i="25"/>
  <c r="V17" i="25"/>
  <c r="T17" i="25"/>
  <c r="N17" i="25"/>
  <c r="J17" i="25"/>
  <c r="I17" i="25"/>
  <c r="H17" i="25"/>
  <c r="E17" i="25"/>
  <c r="D17" i="25"/>
  <c r="C17" i="25"/>
  <c r="B17" i="25"/>
  <c r="V16" i="25"/>
  <c r="K16" i="25"/>
  <c r="J16" i="25"/>
  <c r="I16" i="25"/>
  <c r="E16" i="25"/>
  <c r="D16" i="25"/>
  <c r="C16" i="25"/>
  <c r="V15" i="25"/>
  <c r="T15" i="25"/>
  <c r="N15" i="25"/>
  <c r="J15" i="25"/>
  <c r="I15" i="25"/>
  <c r="H15" i="25"/>
  <c r="E15" i="25"/>
  <c r="D15" i="25"/>
  <c r="C15" i="25"/>
  <c r="B15" i="25"/>
  <c r="V14" i="25"/>
  <c r="K14" i="25"/>
  <c r="J14" i="25"/>
  <c r="I14" i="25"/>
  <c r="E14" i="25"/>
  <c r="D14" i="25"/>
  <c r="C14" i="25"/>
  <c r="V13" i="25"/>
  <c r="T13" i="25"/>
  <c r="N13" i="25"/>
  <c r="J13" i="25"/>
  <c r="I13" i="25"/>
  <c r="H13" i="25"/>
  <c r="E13" i="25"/>
  <c r="D13" i="25"/>
  <c r="C13" i="25"/>
  <c r="B13" i="25"/>
  <c r="V12" i="25"/>
  <c r="K12" i="25"/>
  <c r="J12" i="25"/>
  <c r="I12" i="25"/>
  <c r="E12" i="25"/>
  <c r="D12" i="25"/>
  <c r="C12" i="25"/>
  <c r="W11" i="25"/>
  <c r="V11" i="25"/>
  <c r="T11" i="25"/>
  <c r="N11" i="25"/>
  <c r="J11" i="25"/>
  <c r="I11" i="25"/>
  <c r="H11" i="25"/>
  <c r="E11" i="25"/>
  <c r="D11" i="25"/>
  <c r="C11" i="25"/>
  <c r="B11" i="25"/>
  <c r="V10" i="25"/>
  <c r="K10" i="25"/>
  <c r="J10" i="25"/>
  <c r="I10" i="25"/>
  <c r="E10" i="25"/>
  <c r="D10" i="25"/>
  <c r="C10" i="25"/>
  <c r="V9" i="25"/>
  <c r="T9" i="25"/>
  <c r="N9" i="25"/>
  <c r="J9" i="25"/>
  <c r="I9" i="25"/>
  <c r="H9" i="25"/>
  <c r="E9" i="25"/>
  <c r="D9" i="25"/>
  <c r="C9" i="25"/>
  <c r="B9" i="25"/>
  <c r="V8" i="25"/>
  <c r="K8" i="25"/>
  <c r="J8" i="25"/>
  <c r="I8" i="25"/>
  <c r="E8" i="25"/>
  <c r="D8" i="25"/>
  <c r="C8" i="25"/>
  <c r="V7" i="25"/>
  <c r="T7" i="25"/>
  <c r="N7" i="25"/>
  <c r="J7" i="25"/>
  <c r="I7" i="25"/>
  <c r="H7" i="25"/>
  <c r="E7" i="25"/>
  <c r="D7" i="25"/>
  <c r="C7" i="25"/>
  <c r="B7" i="25"/>
  <c r="V6" i="25"/>
  <c r="K6" i="25"/>
  <c r="J6" i="25"/>
  <c r="I6" i="25"/>
  <c r="E6" i="25"/>
  <c r="D6" i="25"/>
  <c r="C6" i="25"/>
  <c r="V5" i="25"/>
  <c r="T5" i="25"/>
  <c r="N5" i="25"/>
  <c r="J5" i="25"/>
  <c r="I5" i="25"/>
  <c r="H5" i="25"/>
  <c r="E5" i="25"/>
  <c r="D5" i="25"/>
  <c r="C5" i="25"/>
  <c r="B5" i="25"/>
  <c r="V4" i="25"/>
  <c r="K4" i="25"/>
  <c r="J4" i="25"/>
  <c r="I4" i="25"/>
  <c r="H4" i="25"/>
  <c r="E4" i="25"/>
  <c r="D4" i="25"/>
  <c r="C4" i="25"/>
  <c r="V3" i="25"/>
  <c r="T3" i="25"/>
  <c r="N3" i="25"/>
  <c r="J3" i="25"/>
  <c r="I3" i="25"/>
  <c r="H3" i="25"/>
  <c r="E3" i="25"/>
  <c r="D3" i="25"/>
  <c r="C3" i="25"/>
  <c r="B3" i="25"/>
  <c r="T2" i="25"/>
  <c r="N2" i="25"/>
  <c r="H2" i="25"/>
  <c r="C2" i="25"/>
  <c r="G45" i="2"/>
  <c r="J47" i="22" s="1"/>
  <c r="F45" i="2"/>
  <c r="I47" i="22" s="1"/>
  <c r="B45" i="2"/>
  <c r="G44" i="2"/>
  <c r="J35" i="22" s="1"/>
  <c r="F44" i="2"/>
  <c r="I35" i="22" s="1"/>
  <c r="B44" i="2"/>
  <c r="G43" i="2"/>
  <c r="J34" i="22" s="1"/>
  <c r="F43" i="2"/>
  <c r="I34" i="22" s="1"/>
  <c r="D140" i="5" s="1"/>
  <c r="B43" i="2"/>
  <c r="G42" i="2"/>
  <c r="F42" i="2"/>
  <c r="B42" i="2"/>
  <c r="G41" i="2"/>
  <c r="F41" i="2"/>
  <c r="B41" i="2"/>
  <c r="G40" i="2"/>
  <c r="F40" i="2"/>
  <c r="B40" i="2"/>
  <c r="G39" i="2"/>
  <c r="F39" i="2"/>
  <c r="B39" i="2"/>
  <c r="G38" i="2"/>
  <c r="F38" i="2"/>
  <c r="B38" i="2"/>
  <c r="G37" i="2"/>
  <c r="F37" i="2"/>
  <c r="B37" i="2"/>
  <c r="G36" i="2"/>
  <c r="F36" i="2"/>
  <c r="B36" i="2"/>
  <c r="G35" i="2"/>
  <c r="F35" i="2"/>
  <c r="B35" i="2"/>
  <c r="G34" i="2"/>
  <c r="F34" i="2"/>
  <c r="B34" i="2"/>
  <c r="G33" i="2"/>
  <c r="F33" i="2"/>
  <c r="B33" i="2"/>
  <c r="G32" i="2"/>
  <c r="F32" i="2"/>
  <c r="B32" i="2"/>
  <c r="G31" i="2"/>
  <c r="F31" i="2"/>
  <c r="B31" i="2"/>
  <c r="G30" i="2"/>
  <c r="F30" i="2"/>
  <c r="B30" i="2"/>
  <c r="G29" i="2"/>
  <c r="F29" i="2"/>
  <c r="B29" i="2"/>
  <c r="G28" i="2"/>
  <c r="F28" i="2"/>
  <c r="B28" i="2"/>
  <c r="G27" i="2"/>
  <c r="F27" i="2"/>
  <c r="B27" i="2"/>
  <c r="G26" i="2"/>
  <c r="F26" i="2"/>
  <c r="B26" i="2"/>
  <c r="G25" i="2"/>
  <c r="F25" i="2"/>
  <c r="B25" i="2"/>
  <c r="G24" i="2"/>
  <c r="F24" i="2"/>
  <c r="B24" i="2"/>
  <c r="G23" i="2"/>
  <c r="F23" i="2"/>
  <c r="B23" i="2"/>
  <c r="G22" i="2"/>
  <c r="F22" i="2"/>
  <c r="B22" i="2"/>
  <c r="G21" i="2"/>
  <c r="F21" i="2"/>
  <c r="B21" i="2"/>
  <c r="G20" i="2"/>
  <c r="F20" i="2"/>
  <c r="B20" i="2"/>
  <c r="G19" i="2"/>
  <c r="F19" i="2"/>
  <c r="B19" i="2"/>
  <c r="G18" i="2"/>
  <c r="F18" i="2"/>
  <c r="B18" i="2"/>
  <c r="G17" i="2"/>
  <c r="F17" i="2"/>
  <c r="B17" i="2"/>
  <c r="G16" i="2"/>
  <c r="F16" i="2"/>
  <c r="B16" i="2"/>
  <c r="G15" i="2"/>
  <c r="F15" i="2"/>
  <c r="B15" i="2"/>
  <c r="G14" i="2"/>
  <c r="F14" i="2"/>
  <c r="B14" i="2"/>
  <c r="G13" i="2"/>
  <c r="F13" i="2"/>
  <c r="B13" i="2"/>
  <c r="G12" i="2"/>
  <c r="F12" i="2"/>
  <c r="B12" i="2"/>
  <c r="G11" i="2"/>
  <c r="F11" i="2"/>
  <c r="B11" i="2"/>
  <c r="G10" i="2"/>
  <c r="J46" i="22" s="1"/>
  <c r="F10" i="2"/>
  <c r="I46" i="22" s="1"/>
  <c r="B10" i="2"/>
  <c r="G9" i="2"/>
  <c r="F9" i="2"/>
  <c r="B9" i="2"/>
  <c r="G8" i="2"/>
  <c r="F8" i="2"/>
  <c r="B8" i="2"/>
  <c r="G7" i="2"/>
  <c r="F7" i="2"/>
  <c r="B7" i="2"/>
  <c r="G6" i="2"/>
  <c r="F6" i="2"/>
  <c r="B6" i="2"/>
  <c r="G5" i="2"/>
  <c r="F5" i="2"/>
  <c r="B5" i="2"/>
  <c r="G4" i="2"/>
  <c r="F4" i="2"/>
  <c r="B4" i="2"/>
  <c r="G3" i="2"/>
  <c r="F3" i="2"/>
  <c r="B3" i="2"/>
  <c r="J2" i="2"/>
  <c r="G2" i="2"/>
  <c r="F2" i="2"/>
  <c r="B2" i="2"/>
  <c r="O45" i="22"/>
  <c r="L50" i="22"/>
  <c r="K50" i="22"/>
  <c r="O40" i="22"/>
  <c r="L20" i="22"/>
  <c r="K20" i="22"/>
  <c r="O35" i="22"/>
  <c r="L49" i="22"/>
  <c r="K49" i="22"/>
  <c r="O39" i="22"/>
  <c r="L18" i="22"/>
  <c r="K18" i="22"/>
  <c r="L26" i="22"/>
  <c r="K26" i="22"/>
  <c r="O34" i="22"/>
  <c r="O37" i="22"/>
  <c r="O44" i="22"/>
  <c r="L37" i="22"/>
  <c r="K37" i="22"/>
  <c r="O33" i="22"/>
  <c r="L12" i="22"/>
  <c r="K12" i="22"/>
  <c r="L23" i="22"/>
  <c r="K23" i="22"/>
  <c r="O22" i="22"/>
  <c r="L4" i="22"/>
  <c r="K4" i="22"/>
  <c r="B45" i="22"/>
  <c r="B44" i="22"/>
  <c r="O31" i="22"/>
  <c r="L6" i="22"/>
  <c r="K6" i="22"/>
  <c r="B43" i="22"/>
  <c r="B42" i="22"/>
  <c r="O29" i="22"/>
  <c r="L10" i="22"/>
  <c r="K10" i="22"/>
  <c r="B41" i="22"/>
  <c r="O28" i="22"/>
  <c r="L5" i="22"/>
  <c r="K5" i="22"/>
  <c r="B40" i="22"/>
  <c r="B39" i="22"/>
  <c r="B38" i="22"/>
  <c r="O32" i="22"/>
  <c r="L48" i="22"/>
  <c r="K48" i="22"/>
  <c r="B37" i="22"/>
  <c r="O26" i="22"/>
  <c r="L13" i="22"/>
  <c r="K13" i="22"/>
  <c r="B36" i="22"/>
  <c r="B35" i="22"/>
  <c r="O27" i="22"/>
  <c r="B34" i="22"/>
  <c r="L24" i="22"/>
  <c r="K24" i="22"/>
  <c r="B33" i="22"/>
  <c r="O36" i="22"/>
  <c r="B32" i="22"/>
  <c r="O3" i="22"/>
  <c r="L8" i="22"/>
  <c r="K8" i="22"/>
  <c r="B31" i="22"/>
  <c r="L31" i="22"/>
  <c r="K31" i="22"/>
  <c r="B30" i="22"/>
  <c r="O2" i="22"/>
  <c r="L15" i="22"/>
  <c r="K15" i="22"/>
  <c r="B29" i="22"/>
  <c r="O38" i="22"/>
  <c r="L45" i="22"/>
  <c r="K45" i="22"/>
  <c r="B28" i="22"/>
  <c r="B27" i="22"/>
  <c r="O42" i="22"/>
  <c r="B26" i="22"/>
  <c r="O9" i="22"/>
  <c r="L7" i="22"/>
  <c r="K7" i="22"/>
  <c r="B25" i="22"/>
  <c r="O5" i="22"/>
  <c r="L25" i="22"/>
  <c r="K25" i="22"/>
  <c r="B24" i="22"/>
  <c r="O17" i="22"/>
  <c r="L9" i="22"/>
  <c r="K9" i="22"/>
  <c r="B23" i="22"/>
  <c r="O43" i="22"/>
  <c r="L19" i="22"/>
  <c r="K19" i="22"/>
  <c r="B22" i="22"/>
  <c r="O21" i="22"/>
  <c r="B21" i="22"/>
  <c r="O41" i="22"/>
  <c r="L22" i="22"/>
  <c r="K22" i="22"/>
  <c r="B20" i="22"/>
  <c r="O13" i="22"/>
  <c r="L16" i="22"/>
  <c r="K16" i="22"/>
  <c r="B19" i="22"/>
  <c r="O7" i="22"/>
  <c r="L27" i="22"/>
  <c r="K27" i="22"/>
  <c r="B18" i="22"/>
  <c r="O11" i="22"/>
  <c r="L33" i="22"/>
  <c r="K33" i="22"/>
  <c r="B17" i="22"/>
  <c r="O19" i="22"/>
  <c r="B16" i="22"/>
  <c r="O16" i="22"/>
  <c r="L28" i="22"/>
  <c r="K28" i="22"/>
  <c r="B15" i="22"/>
  <c r="O24" i="22"/>
  <c r="L39" i="22"/>
  <c r="K39" i="22"/>
  <c r="B14" i="22"/>
  <c r="O12" i="22"/>
  <c r="L30" i="22"/>
  <c r="K30" i="22"/>
  <c r="B13" i="22"/>
  <c r="O4" i="22"/>
  <c r="L32" i="22"/>
  <c r="K32" i="22"/>
  <c r="B12" i="22"/>
  <c r="O23" i="22"/>
  <c r="L51" i="22"/>
  <c r="K51" i="22"/>
  <c r="B11" i="22"/>
  <c r="O6" i="22"/>
  <c r="L14" i="22"/>
  <c r="K14" i="22"/>
  <c r="B10" i="22"/>
  <c r="O25" i="22"/>
  <c r="L17" i="22"/>
  <c r="K17" i="22"/>
  <c r="B9" i="22"/>
  <c r="O14" i="22"/>
  <c r="L29" i="22"/>
  <c r="K29" i="22"/>
  <c r="B8" i="22"/>
  <c r="O30" i="22"/>
  <c r="L44" i="22"/>
  <c r="K44" i="22"/>
  <c r="B7" i="22"/>
  <c r="O20" i="22"/>
  <c r="L40" i="22"/>
  <c r="K40" i="22"/>
  <c r="B6" i="22"/>
  <c r="O15" i="22"/>
  <c r="L21" i="22"/>
  <c r="K21" i="22"/>
  <c r="B5" i="22"/>
  <c r="O10" i="22"/>
  <c r="L3" i="22"/>
  <c r="K3" i="22"/>
  <c r="B4" i="22"/>
  <c r="O8" i="22"/>
  <c r="L2" i="22"/>
  <c r="K2" i="22"/>
  <c r="B3" i="22"/>
  <c r="O18" i="22"/>
  <c r="L11" i="22"/>
  <c r="K11" i="22"/>
  <c r="B2" i="22"/>
  <c r="B47" i="23"/>
  <c r="A47" i="23"/>
  <c r="B46" i="23"/>
  <c r="A46" i="23"/>
  <c r="B45" i="23"/>
  <c r="A45" i="23"/>
  <c r="B44" i="23"/>
  <c r="A44" i="23"/>
  <c r="B43" i="23"/>
  <c r="A43" i="23"/>
  <c r="B42" i="23"/>
  <c r="A42" i="23"/>
  <c r="B41" i="23"/>
  <c r="A41" i="23"/>
  <c r="B40" i="23"/>
  <c r="A40" i="23"/>
  <c r="B39" i="23"/>
  <c r="A39" i="23"/>
  <c r="B38" i="23"/>
  <c r="A38" i="23"/>
  <c r="B37" i="23"/>
  <c r="A37" i="23"/>
  <c r="B36" i="23"/>
  <c r="A36" i="23"/>
  <c r="B35" i="23"/>
  <c r="A35" i="23"/>
  <c r="B34" i="23"/>
  <c r="A34" i="23"/>
  <c r="B33" i="23"/>
  <c r="A33" i="23"/>
  <c r="B32" i="23"/>
  <c r="A32" i="23"/>
  <c r="B31" i="23"/>
  <c r="B30" i="23"/>
  <c r="A30" i="23"/>
  <c r="B29" i="23"/>
  <c r="A29" i="23"/>
  <c r="B28" i="23"/>
  <c r="A28" i="23"/>
  <c r="B27" i="23"/>
  <c r="A27" i="23"/>
  <c r="B26" i="23"/>
  <c r="A26" i="23"/>
  <c r="B25" i="23"/>
  <c r="A25" i="23"/>
  <c r="B24" i="23"/>
  <c r="A24" i="23"/>
  <c r="B23" i="23"/>
  <c r="A23" i="23"/>
  <c r="B22" i="23"/>
  <c r="A22" i="23"/>
  <c r="B21" i="23"/>
  <c r="A21" i="23"/>
  <c r="B20" i="23"/>
  <c r="A20" i="23"/>
  <c r="B19" i="23"/>
  <c r="A19" i="23"/>
  <c r="B18" i="23"/>
  <c r="A18" i="23"/>
  <c r="B17" i="23"/>
  <c r="A17" i="23"/>
  <c r="B16" i="23"/>
  <c r="A16" i="23"/>
  <c r="A15" i="23"/>
  <c r="B14" i="23"/>
  <c r="A14" i="23"/>
  <c r="B13" i="23"/>
  <c r="A13" i="23"/>
  <c r="B12" i="23"/>
  <c r="A12" i="23"/>
  <c r="B11" i="23"/>
  <c r="A11" i="23"/>
  <c r="B10" i="23"/>
  <c r="A10" i="23"/>
  <c r="B9" i="23"/>
  <c r="A9" i="23"/>
  <c r="B8" i="23"/>
  <c r="A8" i="23"/>
  <c r="B7" i="23"/>
  <c r="A7" i="23"/>
  <c r="B6" i="23"/>
  <c r="A6" i="23"/>
  <c r="B5" i="23"/>
  <c r="A5" i="23"/>
  <c r="B4" i="23"/>
  <c r="A4" i="23"/>
  <c r="B3" i="23"/>
  <c r="A3" i="23"/>
  <c r="B2" i="23"/>
  <c r="A2" i="23"/>
  <c r="L13" i="34" l="1"/>
  <c r="L16" i="34"/>
  <c r="L12" i="34"/>
  <c r="L10" i="34"/>
  <c r="L15" i="34"/>
  <c r="L11" i="34"/>
  <c r="J53" i="2"/>
  <c r="N47" i="22"/>
  <c r="AH22" i="34"/>
  <c r="AH19" i="34"/>
  <c r="AP19" i="34" s="1"/>
  <c r="AH21" i="34"/>
  <c r="AH20" i="34"/>
  <c r="AP20" i="34" s="1"/>
  <c r="Q9" i="34"/>
  <c r="Q16" i="34"/>
  <c r="L8" i="34"/>
  <c r="J42" i="22"/>
  <c r="J41" i="22"/>
  <c r="I42" i="22"/>
  <c r="I41" i="22"/>
  <c r="A48" i="2"/>
  <c r="A51" i="2"/>
  <c r="A49" i="2"/>
  <c r="A50" i="2"/>
  <c r="O30" i="25"/>
  <c r="O28" i="25"/>
  <c r="I36" i="22"/>
  <c r="J36" i="22"/>
  <c r="Q12" i="34"/>
  <c r="L7" i="34"/>
  <c r="Q10" i="34"/>
  <c r="L6" i="34"/>
  <c r="Q6" i="34" s="1"/>
  <c r="Q8" i="34"/>
  <c r="C32" i="5"/>
  <c r="B32" i="5"/>
  <c r="C71" i="5"/>
  <c r="B71" i="5"/>
  <c r="C113" i="5"/>
  <c r="B113" i="5"/>
  <c r="C35" i="5"/>
  <c r="B35" i="5"/>
  <c r="C74" i="5"/>
  <c r="B74" i="5"/>
  <c r="C116" i="5"/>
  <c r="B116" i="5"/>
  <c r="C77" i="5"/>
  <c r="B77" i="5"/>
  <c r="C119" i="5"/>
  <c r="B119" i="5"/>
  <c r="B80" i="5"/>
  <c r="C80" i="5"/>
  <c r="B122" i="5"/>
  <c r="C122" i="5"/>
  <c r="B2" i="5"/>
  <c r="C2" i="5"/>
  <c r="C41" i="5"/>
  <c r="B41" i="5"/>
  <c r="B83" i="5"/>
  <c r="C83" i="5"/>
  <c r="B44" i="5"/>
  <c r="C44" i="5"/>
  <c r="C128" i="5"/>
  <c r="B128" i="5"/>
  <c r="C5" i="5"/>
  <c r="B5" i="5"/>
  <c r="C47" i="5"/>
  <c r="B47" i="5"/>
  <c r="C89" i="5"/>
  <c r="B89" i="5"/>
  <c r="C131" i="5"/>
  <c r="B131" i="5"/>
  <c r="A19" i="5"/>
  <c r="B17" i="5"/>
  <c r="C17" i="5"/>
  <c r="B101" i="5"/>
  <c r="C101" i="5"/>
  <c r="B107" i="5"/>
  <c r="C107" i="5"/>
  <c r="C8" i="5"/>
  <c r="B8" i="5"/>
  <c r="C50" i="5"/>
  <c r="B50" i="5"/>
  <c r="C92" i="5"/>
  <c r="B92" i="5"/>
  <c r="C11" i="5"/>
  <c r="B11" i="5"/>
  <c r="C53" i="5"/>
  <c r="B53" i="5"/>
  <c r="C95" i="5"/>
  <c r="B95" i="5"/>
  <c r="C14" i="5"/>
  <c r="B14" i="5"/>
  <c r="C56" i="5"/>
  <c r="B56" i="5"/>
  <c r="C98" i="5"/>
  <c r="B98" i="5"/>
  <c r="B59" i="5"/>
  <c r="C59" i="5"/>
  <c r="B20" i="5"/>
  <c r="C20" i="5"/>
  <c r="B62" i="5"/>
  <c r="C62" i="5"/>
  <c r="B104" i="5"/>
  <c r="C104" i="5"/>
  <c r="C26" i="5"/>
  <c r="B26" i="5"/>
  <c r="B65" i="5"/>
  <c r="C65" i="5"/>
  <c r="C29" i="5"/>
  <c r="B29" i="5"/>
  <c r="AF29" i="5"/>
  <c r="B68" i="5"/>
  <c r="C68" i="5"/>
  <c r="C110" i="5"/>
  <c r="B110" i="5"/>
  <c r="L5" i="34"/>
  <c r="Q5" i="34" s="1"/>
  <c r="AH17" i="34"/>
  <c r="AP17" i="34" s="1"/>
  <c r="AL18" i="34"/>
  <c r="AK18" i="34"/>
  <c r="AQ18" i="34" s="1"/>
  <c r="AH18" i="34"/>
  <c r="AP18" i="34" s="1"/>
  <c r="A47" i="2"/>
  <c r="A46" i="2"/>
  <c r="A14" i="24"/>
  <c r="A94" i="5"/>
  <c r="AF94" i="5" s="1"/>
  <c r="AF92" i="5"/>
  <c r="A100" i="5"/>
  <c r="AF100" i="5" s="1"/>
  <c r="AF98" i="5"/>
  <c r="AF104" i="5"/>
  <c r="A112" i="5"/>
  <c r="AF112" i="5" s="1"/>
  <c r="AF110" i="5"/>
  <c r="A118" i="5"/>
  <c r="AF118" i="5" s="1"/>
  <c r="AF116" i="5"/>
  <c r="A124" i="5"/>
  <c r="AF124" i="5" s="1"/>
  <c r="AF122" i="5"/>
  <c r="A130" i="5"/>
  <c r="AF130" i="5" s="1"/>
  <c r="AF128" i="5"/>
  <c r="A82" i="5"/>
  <c r="AF82" i="5" s="1"/>
  <c r="AF80" i="5"/>
  <c r="A65" i="24"/>
  <c r="AF65" i="5"/>
  <c r="AF14" i="5"/>
  <c r="A23" i="24"/>
  <c r="AF41" i="5"/>
  <c r="A45" i="5"/>
  <c r="A70" i="5"/>
  <c r="AF70" i="5" s="1"/>
  <c r="AF68" i="5"/>
  <c r="A64" i="5"/>
  <c r="AF64" i="5" s="1"/>
  <c r="AF62" i="5"/>
  <c r="A47" i="24"/>
  <c r="A73" i="5"/>
  <c r="AF73" i="5" s="1"/>
  <c r="AF71" i="5"/>
  <c r="AF26" i="5"/>
  <c r="A50" i="24"/>
  <c r="AF50" i="5"/>
  <c r="A76" i="5"/>
  <c r="AF76" i="5" s="1"/>
  <c r="AF74" i="5"/>
  <c r="A79" i="5"/>
  <c r="AF79" i="5" s="1"/>
  <c r="AF77" i="5"/>
  <c r="A85" i="5"/>
  <c r="AF85" i="5" s="1"/>
  <c r="AF83" i="5"/>
  <c r="A91" i="5"/>
  <c r="AF91" i="5" s="1"/>
  <c r="AF89" i="5"/>
  <c r="A97" i="5"/>
  <c r="AF97" i="5" s="1"/>
  <c r="AF95" i="5"/>
  <c r="AF101" i="5"/>
  <c r="AF107" i="5"/>
  <c r="AF113" i="5"/>
  <c r="A121" i="5"/>
  <c r="AF121" i="5" s="1"/>
  <c r="AF119" i="5"/>
  <c r="A133" i="5"/>
  <c r="AF133" i="5" s="1"/>
  <c r="AF131" i="5"/>
  <c r="A18" i="5"/>
  <c r="AF44" i="5" s="1"/>
  <c r="A10" i="5"/>
  <c r="A53" i="24"/>
  <c r="AF53" i="5"/>
  <c r="AF59" i="5"/>
  <c r="A11" i="24"/>
  <c r="A37" i="5"/>
  <c r="AF56" i="5"/>
  <c r="C8" i="1"/>
  <c r="I2" i="48"/>
  <c r="F2" i="48" s="1"/>
  <c r="M2" i="22" s="1"/>
  <c r="I5" i="48"/>
  <c r="F55" i="48" s="1"/>
  <c r="I4" i="48"/>
  <c r="F36" i="48" s="1"/>
  <c r="M26" i="22" s="1"/>
  <c r="I3" i="48"/>
  <c r="F23" i="48" s="1"/>
  <c r="M17" i="22" s="1"/>
  <c r="AB12" i="13"/>
  <c r="U13" i="25" s="1"/>
  <c r="AB15" i="13"/>
  <c r="AK17" i="34"/>
  <c r="AQ17" i="34" s="1"/>
  <c r="AK16" i="34"/>
  <c r="AQ16" i="34" s="1"/>
  <c r="AB14" i="13"/>
  <c r="U15" i="25" s="1"/>
  <c r="AK15" i="34"/>
  <c r="AQ15" i="34" s="1"/>
  <c r="AB16" i="13"/>
  <c r="U17" i="25" s="1"/>
  <c r="I38" i="22"/>
  <c r="I13" i="22"/>
  <c r="F3" i="54"/>
  <c r="E3" i="54"/>
  <c r="J38" i="22"/>
  <c r="J18" i="22"/>
  <c r="AB10" i="13"/>
  <c r="U11" i="25" s="1"/>
  <c r="O27" i="25"/>
  <c r="O29" i="25"/>
  <c r="AB8" i="13"/>
  <c r="U9" i="25" s="1"/>
  <c r="AB2" i="13"/>
  <c r="U3" i="25" s="1"/>
  <c r="AB3" i="13"/>
  <c r="U4" i="25" s="1"/>
  <c r="I16" i="22"/>
  <c r="D83" i="5" s="1"/>
  <c r="I12" i="22"/>
  <c r="J16" i="22"/>
  <c r="J4" i="22"/>
  <c r="E4" i="54"/>
  <c r="J3" i="22"/>
  <c r="J10" i="22"/>
  <c r="J45" i="22"/>
  <c r="I4" i="22"/>
  <c r="N27" i="22"/>
  <c r="J21" i="22"/>
  <c r="I21" i="22"/>
  <c r="N22" i="22"/>
  <c r="J33" i="22"/>
  <c r="I9" i="22"/>
  <c r="I22" i="22"/>
  <c r="J5" i="22"/>
  <c r="J27" i="22"/>
  <c r="J22" i="22"/>
  <c r="J31" i="22"/>
  <c r="F4" i="54"/>
  <c r="N15" i="22"/>
  <c r="F6" i="34"/>
  <c r="N13" i="22"/>
  <c r="N40" i="22"/>
  <c r="N33" i="22"/>
  <c r="N29" i="22"/>
  <c r="N21" i="22"/>
  <c r="N2" i="22"/>
  <c r="N17" i="22"/>
  <c r="O32" i="25"/>
  <c r="N11" i="22"/>
  <c r="N35" i="22"/>
  <c r="N10" i="22"/>
  <c r="V45" i="7"/>
  <c r="S45" i="5" s="1"/>
  <c r="V9" i="7"/>
  <c r="D9" i="23" s="1"/>
  <c r="V46" i="7"/>
  <c r="S46" i="5" s="1"/>
  <c r="V43" i="7"/>
  <c r="S43" i="5" s="1"/>
  <c r="V47" i="7"/>
  <c r="D47" i="23" s="1"/>
  <c r="V8" i="7"/>
  <c r="D8" i="23" s="1"/>
  <c r="V12" i="7"/>
  <c r="D12" i="23" s="1"/>
  <c r="V16" i="7"/>
  <c r="D16" i="23" s="1"/>
  <c r="V20" i="7"/>
  <c r="V24" i="7"/>
  <c r="V28" i="7"/>
  <c r="V32" i="7"/>
  <c r="V44" i="7"/>
  <c r="S44" i="5" s="1"/>
  <c r="V40" i="7"/>
  <c r="F40" i="3" s="1"/>
  <c r="V36" i="7"/>
  <c r="V4" i="7"/>
  <c r="D4" i="23" s="1"/>
  <c r="V3" i="7"/>
  <c r="D3" i="23" s="1"/>
  <c r="V5" i="7"/>
  <c r="D5" i="23" s="1"/>
  <c r="V13" i="7"/>
  <c r="D13" i="23" s="1"/>
  <c r="V17" i="7"/>
  <c r="D17" i="23" s="1"/>
  <c r="V21" i="7"/>
  <c r="V25" i="7"/>
  <c r="V29" i="7"/>
  <c r="F29" i="3" s="1"/>
  <c r="V33" i="7"/>
  <c r="F33" i="3" s="1"/>
  <c r="V37" i="7"/>
  <c r="V41" i="7"/>
  <c r="V14" i="7"/>
  <c r="S14" i="5" s="1"/>
  <c r="V18" i="7"/>
  <c r="D18" i="23" s="1"/>
  <c r="V22" i="7"/>
  <c r="V26" i="7"/>
  <c r="V30" i="7"/>
  <c r="F30" i="3" s="1"/>
  <c r="V34" i="7"/>
  <c r="F34" i="3" s="1"/>
  <c r="V38" i="7"/>
  <c r="V42" i="7"/>
  <c r="V10" i="7"/>
  <c r="D10" i="23" s="1"/>
  <c r="V6" i="7"/>
  <c r="D6" i="23" s="1"/>
  <c r="V7" i="7"/>
  <c r="D7" i="23" s="1"/>
  <c r="V11" i="7"/>
  <c r="D11" i="23" s="1"/>
  <c r="V15" i="7"/>
  <c r="D15" i="23" s="1"/>
  <c r="V19" i="7"/>
  <c r="D19" i="23" s="1"/>
  <c r="V23" i="7"/>
  <c r="D23" i="23" s="1"/>
  <c r="V27" i="7"/>
  <c r="D27" i="23" s="1"/>
  <c r="V31" i="7"/>
  <c r="V35" i="7"/>
  <c r="V39" i="7"/>
  <c r="F39" i="3" s="1"/>
  <c r="V2" i="7"/>
  <c r="D2" i="23" s="1"/>
  <c r="J19" i="22"/>
  <c r="J28" i="22"/>
  <c r="J26" i="22"/>
  <c r="N42" i="22"/>
  <c r="N37" i="22"/>
  <c r="N43" i="22"/>
  <c r="N34" i="22"/>
  <c r="N18" i="22"/>
  <c r="N23" i="22"/>
  <c r="J49" i="22"/>
  <c r="J15" i="22"/>
  <c r="J11" i="22"/>
  <c r="J51" i="22"/>
  <c r="J23" i="22"/>
  <c r="J8" i="22"/>
  <c r="J2" i="22"/>
  <c r="J24" i="22"/>
  <c r="J20" i="22"/>
  <c r="J44" i="22"/>
  <c r="J25" i="22"/>
  <c r="J50" i="22"/>
  <c r="J17" i="22"/>
  <c r="J7" i="22"/>
  <c r="J6" i="22"/>
  <c r="J29" i="22"/>
  <c r="J40" i="22"/>
  <c r="N3" i="22"/>
  <c r="N8" i="22"/>
  <c r="N4" i="22"/>
  <c r="N30" i="22"/>
  <c r="N24" i="22"/>
  <c r="N38" i="22"/>
  <c r="N45" i="22"/>
  <c r="N32" i="22"/>
  <c r="N25" i="22"/>
  <c r="N19" i="22"/>
  <c r="N31" i="22"/>
  <c r="N39" i="22"/>
  <c r="N6" i="22"/>
  <c r="N14" i="22"/>
  <c r="N7" i="22"/>
  <c r="N20" i="22"/>
  <c r="N41" i="22"/>
  <c r="I19" i="22"/>
  <c r="I26" i="22"/>
  <c r="I37" i="22"/>
  <c r="I11" i="22"/>
  <c r="I51" i="22"/>
  <c r="I23" i="22"/>
  <c r="I5" i="22"/>
  <c r="I8" i="22"/>
  <c r="I25" i="22"/>
  <c r="I39" i="22"/>
  <c r="I50" i="22"/>
  <c r="I17" i="22"/>
  <c r="I6" i="22"/>
  <c r="I18" i="22"/>
  <c r="I29" i="22"/>
  <c r="I27" i="22"/>
  <c r="D41" i="5" s="1"/>
  <c r="I40" i="22"/>
  <c r="I31" i="22"/>
  <c r="D137" i="5" s="1"/>
  <c r="AB13" i="13"/>
  <c r="U14" i="25" s="1"/>
  <c r="O6" i="25"/>
  <c r="AB17" i="13"/>
  <c r="U18" i="25" s="1"/>
  <c r="O4" i="25"/>
  <c r="O23" i="25"/>
  <c r="O15" i="25"/>
  <c r="A2" i="2"/>
  <c r="W36" i="7"/>
  <c r="U36" i="7" s="1"/>
  <c r="M29" i="22"/>
  <c r="M12" i="22"/>
  <c r="I33" i="22"/>
  <c r="I32" i="22"/>
  <c r="I45" i="22"/>
  <c r="D134" i="5" s="1"/>
  <c r="I3" i="22"/>
  <c r="D74" i="5" s="1"/>
  <c r="I10" i="22"/>
  <c r="I14" i="22"/>
  <c r="I48" i="22"/>
  <c r="D110" i="5" s="1"/>
  <c r="B43" i="24"/>
  <c r="B79" i="24"/>
  <c r="B74" i="24"/>
  <c r="B121" i="24"/>
  <c r="B64" i="24"/>
  <c r="B9" i="24"/>
  <c r="B14" i="24"/>
  <c r="B75" i="24"/>
  <c r="M11" i="22"/>
  <c r="N16" i="22"/>
  <c r="N26" i="22"/>
  <c r="N28" i="22"/>
  <c r="E6" i="54"/>
  <c r="J39" i="22"/>
  <c r="J32" i="22"/>
  <c r="J48" i="22"/>
  <c r="W6" i="7"/>
  <c r="U6" i="7" s="1"/>
  <c r="W10" i="7"/>
  <c r="B76" i="24"/>
  <c r="B68" i="24"/>
  <c r="B94" i="24"/>
  <c r="B11" i="24"/>
  <c r="B80" i="24"/>
  <c r="B61" i="24"/>
  <c r="B88" i="24"/>
  <c r="B96" i="24"/>
  <c r="B130" i="24"/>
  <c r="B6" i="24"/>
  <c r="B47" i="24"/>
  <c r="B45" i="24"/>
  <c r="B120" i="24"/>
  <c r="B97" i="24"/>
  <c r="B59" i="24"/>
  <c r="B89" i="24"/>
  <c r="B19" i="24"/>
  <c r="B81" i="24"/>
  <c r="W30" i="7"/>
  <c r="U30" i="7" s="1"/>
  <c r="W23" i="7"/>
  <c r="U23" i="7" s="1"/>
  <c r="W44" i="7"/>
  <c r="U44" i="7" s="1"/>
  <c r="W41" i="7"/>
  <c r="W9" i="7"/>
  <c r="U9" i="7" s="1"/>
  <c r="W17" i="7"/>
  <c r="W33" i="7"/>
  <c r="W14" i="7"/>
  <c r="U14" i="7" s="1"/>
  <c r="W46" i="7"/>
  <c r="U46" i="7" s="1"/>
  <c r="J9" i="22"/>
  <c r="J12" i="22"/>
  <c r="J13" i="22"/>
  <c r="J37" i="22"/>
  <c r="J14" i="22"/>
  <c r="N12" i="22"/>
  <c r="N44" i="22"/>
  <c r="J30" i="22"/>
  <c r="B109" i="24"/>
  <c r="B101" i="24"/>
  <c r="B52" i="24"/>
  <c r="B131" i="24"/>
  <c r="B107" i="24"/>
  <c r="B123" i="24"/>
  <c r="B115" i="24"/>
  <c r="M28" i="22"/>
  <c r="M24" i="22"/>
  <c r="M42" i="22"/>
  <c r="M40" i="22"/>
  <c r="M16" i="22"/>
  <c r="M33" i="22"/>
  <c r="E2" i="54"/>
  <c r="A6" i="2"/>
  <c r="W43" i="7"/>
  <c r="U43" i="7" s="1"/>
  <c r="B110" i="24"/>
  <c r="B66" i="24"/>
  <c r="B78" i="24"/>
  <c r="B102" i="24"/>
  <c r="B51" i="24"/>
  <c r="B31" i="24"/>
  <c r="W28" i="7"/>
  <c r="U28" i="7" s="1"/>
  <c r="W34" i="7"/>
  <c r="U34" i="7" s="1"/>
  <c r="W19" i="7"/>
  <c r="U19" i="7" s="1"/>
  <c r="W31" i="7"/>
  <c r="U31" i="7" s="1"/>
  <c r="W2" i="7"/>
  <c r="U2" i="7" s="1"/>
  <c r="W42" i="7"/>
  <c r="U42" i="7" s="1"/>
  <c r="W20" i="7"/>
  <c r="U20" i="7" s="1"/>
  <c r="W3" i="7"/>
  <c r="U3" i="7" s="1"/>
  <c r="W18" i="7"/>
  <c r="W22" i="7"/>
  <c r="W26" i="7"/>
  <c r="U26" i="7" s="1"/>
  <c r="B27" i="24"/>
  <c r="B23" i="24"/>
  <c r="B5" i="24"/>
  <c r="B99" i="24"/>
  <c r="B126" i="24"/>
  <c r="B49" i="24"/>
  <c r="B113" i="24"/>
  <c r="B33" i="24"/>
  <c r="B37" i="24"/>
  <c r="B60" i="24"/>
  <c r="B83" i="24"/>
  <c r="B127" i="24"/>
  <c r="B108" i="24"/>
  <c r="B129" i="24"/>
  <c r="B54" i="24"/>
  <c r="B3" i="24"/>
  <c r="B67" i="24"/>
  <c r="B87" i="24"/>
  <c r="B95" i="24"/>
  <c r="B53" i="24"/>
  <c r="B73" i="24"/>
  <c r="B86" i="24"/>
  <c r="B41" i="24"/>
  <c r="B69" i="24"/>
  <c r="B111" i="24"/>
  <c r="B84" i="24"/>
  <c r="B21" i="24"/>
  <c r="B25" i="24"/>
  <c r="B29" i="24"/>
  <c r="B55" i="24"/>
  <c r="B92" i="24"/>
  <c r="B105" i="24"/>
  <c r="B128" i="24"/>
  <c r="B7" i="24"/>
  <c r="B100" i="24"/>
  <c r="B98" i="24"/>
  <c r="B133" i="24"/>
  <c r="B71" i="24"/>
  <c r="B116" i="24"/>
  <c r="B117" i="24"/>
  <c r="B118" i="24"/>
  <c r="B39" i="24"/>
  <c r="B103" i="24"/>
  <c r="B124" i="24"/>
  <c r="B122" i="24"/>
  <c r="B90" i="24"/>
  <c r="B16" i="24"/>
  <c r="B17" i="24"/>
  <c r="B18" i="24"/>
  <c r="B15" i="24"/>
  <c r="B62" i="24"/>
  <c r="W13" i="7"/>
  <c r="U13" i="7" s="1"/>
  <c r="W16" i="7"/>
  <c r="W24" i="7"/>
  <c r="U24" i="7" s="1"/>
  <c r="W29" i="7"/>
  <c r="U29" i="7" s="1"/>
  <c r="W38" i="7"/>
  <c r="U38" i="7" s="1"/>
  <c r="W15" i="7"/>
  <c r="U15" i="7" s="1"/>
  <c r="W35" i="7"/>
  <c r="U35" i="7" s="1"/>
  <c r="W25" i="7"/>
  <c r="U25" i="7" s="1"/>
  <c r="C25" i="23" s="1"/>
  <c r="W27" i="7"/>
  <c r="U27" i="7" s="1"/>
  <c r="W39" i="7"/>
  <c r="U39" i="7" s="1"/>
  <c r="W12" i="7"/>
  <c r="U12" i="7" s="1"/>
  <c r="W4" i="7"/>
  <c r="U4" i="7" s="1"/>
  <c r="W7" i="7"/>
  <c r="U7" i="7" s="1"/>
  <c r="W11" i="7"/>
  <c r="U11" i="7" s="1"/>
  <c r="W5" i="7"/>
  <c r="U5" i="7" s="1"/>
  <c r="W8" i="7"/>
  <c r="W21" i="7"/>
  <c r="U21" i="7" s="1"/>
  <c r="W37" i="7"/>
  <c r="U37" i="7" s="1"/>
  <c r="B13" i="24"/>
  <c r="B20" i="24"/>
  <c r="B82" i="24"/>
  <c r="B132" i="24"/>
  <c r="B12" i="24"/>
  <c r="B22" i="24"/>
  <c r="B114" i="24"/>
  <c r="B8" i="24"/>
  <c r="B32" i="24"/>
  <c r="B36" i="24"/>
  <c r="B46" i="24"/>
  <c r="B56" i="24"/>
  <c r="B63" i="24"/>
  <c r="B70" i="24"/>
  <c r="B77" i="24"/>
  <c r="B91" i="24"/>
  <c r="B104" i="24"/>
  <c r="B26" i="24"/>
  <c r="B30" i="24"/>
  <c r="B40" i="24"/>
  <c r="B50" i="24"/>
  <c r="B58" i="24"/>
  <c r="B85" i="24"/>
  <c r="B112" i="24"/>
  <c r="B125" i="24"/>
  <c r="B10" i="24"/>
  <c r="B24" i="24"/>
  <c r="B34" i="24"/>
  <c r="B44" i="24"/>
  <c r="B48" i="24"/>
  <c r="B57" i="24"/>
  <c r="B93" i="24"/>
  <c r="B119" i="24"/>
  <c r="B72" i="24"/>
  <c r="B106" i="24"/>
  <c r="B4" i="24"/>
  <c r="B28" i="24"/>
  <c r="B38" i="24"/>
  <c r="B42" i="24"/>
  <c r="B65" i="24"/>
  <c r="A6" i="5"/>
  <c r="AF17" i="5" s="1"/>
  <c r="A5" i="24"/>
  <c r="A30" i="5"/>
  <c r="A29" i="24"/>
  <c r="A110" i="24"/>
  <c r="A4" i="5"/>
  <c r="AF35" i="5" s="1"/>
  <c r="A2" i="24"/>
  <c r="A27" i="5"/>
  <c r="AF11" i="5" s="1"/>
  <c r="A26" i="24"/>
  <c r="A58" i="5"/>
  <c r="AF58" i="5" s="1"/>
  <c r="A56" i="24"/>
  <c r="A106" i="5"/>
  <c r="AF106" i="5" s="1"/>
  <c r="A104" i="24"/>
  <c r="A71" i="24"/>
  <c r="A35" i="24"/>
  <c r="A98" i="24"/>
  <c r="A92" i="24"/>
  <c r="A86" i="24"/>
  <c r="A80" i="24"/>
  <c r="A103" i="5"/>
  <c r="AF103" i="5" s="1"/>
  <c r="A101" i="24"/>
  <c r="A109" i="5"/>
  <c r="AF109" i="5" s="1"/>
  <c r="A107" i="24"/>
  <c r="A115" i="5"/>
  <c r="AF115" i="5" s="1"/>
  <c r="A113" i="24"/>
  <c r="A122" i="24"/>
  <c r="A128" i="24"/>
  <c r="A116" i="24"/>
  <c r="A15" i="5"/>
  <c r="AF15" i="5" s="1"/>
  <c r="A39" i="5"/>
  <c r="AF20" i="5" s="1"/>
  <c r="A57" i="5"/>
  <c r="AF57" i="5" s="1"/>
  <c r="A28" i="5"/>
  <c r="AF47" i="5" s="1"/>
  <c r="A22" i="2"/>
  <c r="F2" i="54"/>
  <c r="E5" i="54"/>
  <c r="F5" i="54"/>
  <c r="A59" i="24"/>
  <c r="A61" i="5"/>
  <c r="AF61" i="5" s="1"/>
  <c r="A43" i="5"/>
  <c r="AF23" i="5" s="1"/>
  <c r="A41" i="24"/>
  <c r="A42" i="5"/>
  <c r="A20" i="24"/>
  <c r="A21" i="5"/>
  <c r="A34" i="5"/>
  <c r="A32" i="24"/>
  <c r="A46" i="5"/>
  <c r="A119" i="24"/>
  <c r="A16" i="5"/>
  <c r="AF16" i="5" s="1"/>
  <c r="A63" i="5"/>
  <c r="AF63" i="5" s="1"/>
  <c r="A125" i="24"/>
  <c r="A131" i="24"/>
  <c r="A51" i="5"/>
  <c r="AF51" i="5" s="1"/>
  <c r="A62" i="24"/>
  <c r="A68" i="24"/>
  <c r="A74" i="24"/>
  <c r="A77" i="24"/>
  <c r="A83" i="24"/>
  <c r="A89" i="24"/>
  <c r="A95" i="24"/>
  <c r="A3" i="5"/>
  <c r="A8" i="24"/>
  <c r="A17" i="24"/>
  <c r="A44" i="24"/>
  <c r="C2" i="54"/>
  <c r="F6" i="54"/>
  <c r="A41" i="2"/>
  <c r="A45" i="2"/>
  <c r="A3" i="2"/>
  <c r="A10" i="2"/>
  <c r="A19" i="2"/>
  <c r="A26" i="2"/>
  <c r="A34" i="2"/>
  <c r="A40" i="2"/>
  <c r="N5" i="22"/>
  <c r="N36" i="22"/>
  <c r="A9" i="2"/>
  <c r="A16" i="2"/>
  <c r="A25" i="2"/>
  <c r="A31" i="2"/>
  <c r="A42" i="2"/>
  <c r="I44" i="22"/>
  <c r="A5" i="2"/>
  <c r="A12" i="2"/>
  <c r="A21" i="2"/>
  <c r="A27" i="2"/>
  <c r="A36" i="2"/>
  <c r="I24" i="22"/>
  <c r="D146" i="5" s="1"/>
  <c r="A37" i="2"/>
  <c r="A11" i="2"/>
  <c r="A18" i="2"/>
  <c r="I49" i="22"/>
  <c r="A33" i="2"/>
  <c r="N9" i="22"/>
  <c r="A15" i="2"/>
  <c r="I15" i="22"/>
  <c r="A30" i="2"/>
  <c r="I20" i="22"/>
  <c r="A44" i="2"/>
  <c r="O54" i="22"/>
  <c r="A8" i="2"/>
  <c r="A17" i="2"/>
  <c r="A24" i="2"/>
  <c r="A32" i="2"/>
  <c r="A39" i="2"/>
  <c r="A7" i="2"/>
  <c r="I30" i="22"/>
  <c r="A14" i="2"/>
  <c r="A23" i="2"/>
  <c r="A29" i="2"/>
  <c r="A38" i="2"/>
  <c r="I2" i="22"/>
  <c r="A4" i="2"/>
  <c r="A13" i="2"/>
  <c r="A20" i="2"/>
  <c r="A28" i="2"/>
  <c r="A35" i="2"/>
  <c r="A43" i="2"/>
  <c r="H28" i="34"/>
  <c r="G27" i="34"/>
  <c r="F26" i="34"/>
  <c r="H24" i="34"/>
  <c r="F23" i="34"/>
  <c r="F20" i="34"/>
  <c r="G28" i="34"/>
  <c r="F27" i="34"/>
  <c r="G24" i="34"/>
  <c r="H21" i="34"/>
  <c r="G18" i="34"/>
  <c r="AB16" i="34"/>
  <c r="AN16" i="34" s="1"/>
  <c r="AK14" i="34"/>
  <c r="AQ14" i="34" s="1"/>
  <c r="H13" i="34"/>
  <c r="AH12" i="34"/>
  <c r="AP12" i="34" s="1"/>
  <c r="G12" i="34"/>
  <c r="F11" i="34"/>
  <c r="AE10" i="34"/>
  <c r="AO10" i="34" s="1"/>
  <c r="AK8" i="34"/>
  <c r="AQ8" i="34" s="1"/>
  <c r="F22" i="34"/>
  <c r="F19" i="34"/>
  <c r="G15" i="34"/>
  <c r="AE14" i="34"/>
  <c r="AO14" i="34" s="1"/>
  <c r="F12" i="34"/>
  <c r="AH9" i="34"/>
  <c r="AP9" i="34" s="1"/>
  <c r="AK7" i="34"/>
  <c r="AQ7" i="34" s="1"/>
  <c r="H6" i="34"/>
  <c r="AH5" i="34"/>
  <c r="AP5" i="34" s="1"/>
  <c r="G5" i="34"/>
  <c r="H27" i="34"/>
  <c r="H25" i="34"/>
  <c r="AE20" i="34"/>
  <c r="AO20" i="34" s="1"/>
  <c r="AB18" i="34"/>
  <c r="AN18" i="34" s="1"/>
  <c r="AH15" i="34"/>
  <c r="AP15" i="34" s="1"/>
  <c r="F15" i="34"/>
  <c r="AB11" i="34"/>
  <c r="AN11" i="34" s="1"/>
  <c r="AK10" i="34"/>
  <c r="AQ10" i="34" s="1"/>
  <c r="H10" i="34"/>
  <c r="H7" i="34"/>
  <c r="AH6" i="34"/>
  <c r="AP6" i="34" s="1"/>
  <c r="G6" i="34"/>
  <c r="F5" i="34"/>
  <c r="G25" i="34"/>
  <c r="H23" i="34"/>
  <c r="G21" i="34"/>
  <c r="H18" i="34"/>
  <c r="AE17" i="34"/>
  <c r="AO17" i="34" s="1"/>
  <c r="H16" i="34"/>
  <c r="AB14" i="34"/>
  <c r="AN14" i="34" s="1"/>
  <c r="AK13" i="34"/>
  <c r="AQ13" i="34" s="1"/>
  <c r="G13" i="34"/>
  <c r="AE12" i="34"/>
  <c r="AO12" i="34" s="1"/>
  <c r="G10" i="34"/>
  <c r="AE9" i="34"/>
  <c r="AO9" i="34" s="1"/>
  <c r="H8" i="34"/>
  <c r="AH7" i="34"/>
  <c r="AP7" i="34" s="1"/>
  <c r="G7" i="34"/>
  <c r="AE5" i="34"/>
  <c r="AO5" i="34" s="1"/>
  <c r="F25" i="34"/>
  <c r="G23" i="34"/>
  <c r="F21" i="34"/>
  <c r="AB20" i="34"/>
  <c r="AN20" i="34" s="1"/>
  <c r="F18" i="34"/>
  <c r="G16" i="34"/>
  <c r="AE15" i="34"/>
  <c r="AO15" i="34" s="1"/>
  <c r="AH13" i="34"/>
  <c r="AP13" i="34" s="1"/>
  <c r="F13" i="34"/>
  <c r="AH10" i="34"/>
  <c r="AP10" i="34" s="1"/>
  <c r="F10" i="34"/>
  <c r="AB9" i="34"/>
  <c r="AN9" i="34" s="1"/>
  <c r="AH8" i="34"/>
  <c r="AP8" i="34" s="1"/>
  <c r="G8" i="34"/>
  <c r="F7" i="34"/>
  <c r="AE6" i="34"/>
  <c r="AO6" i="34" s="1"/>
  <c r="F28" i="34"/>
  <c r="H20" i="34"/>
  <c r="AE19" i="34"/>
  <c r="AO19" i="34" s="1"/>
  <c r="AB17" i="34"/>
  <c r="AN17" i="34" s="1"/>
  <c r="AH16" i="34"/>
  <c r="AP16" i="34" s="1"/>
  <c r="F16" i="34"/>
  <c r="H14" i="34"/>
  <c r="AB12" i="34"/>
  <c r="AN12" i="34" s="1"/>
  <c r="AK11" i="34"/>
  <c r="AQ11" i="34" s="1"/>
  <c r="H11" i="34"/>
  <c r="H9" i="34"/>
  <c r="F8" i="34"/>
  <c r="AE7" i="34"/>
  <c r="AO7" i="34" s="1"/>
  <c r="AB5" i="34"/>
  <c r="AN5" i="34" s="1"/>
  <c r="G20" i="34"/>
  <c r="AB19" i="34"/>
  <c r="AN19" i="34" s="1"/>
  <c r="H17" i="34"/>
  <c r="AB15" i="34"/>
  <c r="AN15" i="34" s="1"/>
  <c r="G14" i="34"/>
  <c r="AE13" i="34"/>
  <c r="AO13" i="34" s="1"/>
  <c r="G11" i="34"/>
  <c r="G9" i="34"/>
  <c r="AE8" i="34"/>
  <c r="AO8" i="34" s="1"/>
  <c r="AB6" i="34"/>
  <c r="AN6" i="34" s="1"/>
  <c r="H26" i="34"/>
  <c r="F24" i="34"/>
  <c r="H22" i="34"/>
  <c r="H19" i="34"/>
  <c r="G17" i="34"/>
  <c r="AE16" i="34"/>
  <c r="AO16" i="34" s="1"/>
  <c r="AH14" i="34"/>
  <c r="AP14" i="34" s="1"/>
  <c r="F14" i="34"/>
  <c r="AH11" i="34"/>
  <c r="AP11" i="34" s="1"/>
  <c r="AB10" i="34"/>
  <c r="AN10" i="34" s="1"/>
  <c r="AK9" i="34"/>
  <c r="AQ9" i="34" s="1"/>
  <c r="F9" i="34"/>
  <c r="AB7" i="34"/>
  <c r="AN7" i="34" s="1"/>
  <c r="AK5" i="34"/>
  <c r="AQ5" i="34" s="1"/>
  <c r="G22" i="34"/>
  <c r="H15" i="34"/>
  <c r="H5" i="34"/>
  <c r="G19" i="34"/>
  <c r="AE18" i="34"/>
  <c r="AO18" i="34" s="1"/>
  <c r="AB13" i="34"/>
  <c r="AN13" i="34" s="1"/>
  <c r="AB8" i="34"/>
  <c r="AN8" i="34" s="1"/>
  <c r="AK12" i="34"/>
  <c r="AQ12" i="34" s="1"/>
  <c r="G26" i="34"/>
  <c r="F17" i="34"/>
  <c r="H12" i="34"/>
  <c r="AE11" i="34"/>
  <c r="AO11" i="34" s="1"/>
  <c r="AK6" i="34"/>
  <c r="AQ6" i="34" s="1"/>
  <c r="I28" i="22"/>
  <c r="B2" i="54"/>
  <c r="L6" i="54"/>
  <c r="W40" i="7"/>
  <c r="U40" i="7" s="1"/>
  <c r="C2" i="1"/>
  <c r="I7" i="22"/>
  <c r="D5" i="5" s="1"/>
  <c r="W32" i="7"/>
  <c r="U32" i="7" s="1"/>
  <c r="W47" i="7"/>
  <c r="U47" i="7" s="1"/>
  <c r="B2" i="24"/>
  <c r="W45" i="7"/>
  <c r="U45" i="7" s="1"/>
  <c r="A9" i="5"/>
  <c r="A13" i="5"/>
  <c r="A33" i="5"/>
  <c r="A36" i="5"/>
  <c r="AF2" i="5" s="1"/>
  <c r="A40" i="5"/>
  <c r="A52" i="5"/>
  <c r="AF52" i="5" s="1"/>
  <c r="A12" i="5"/>
  <c r="AF5" i="5" s="1"/>
  <c r="A22" i="5"/>
  <c r="A60" i="5"/>
  <c r="AF60" i="5" s="1"/>
  <c r="A25" i="5"/>
  <c r="A48" i="5"/>
  <c r="AF48" i="5" s="1"/>
  <c r="A54" i="5"/>
  <c r="AF54" i="5" s="1"/>
  <c r="A55" i="5"/>
  <c r="AF55" i="5" s="1"/>
  <c r="A24" i="5"/>
  <c r="AF38" i="5" s="1"/>
  <c r="A7" i="5"/>
  <c r="AF8" i="5" s="1"/>
  <c r="A31" i="5"/>
  <c r="A49" i="5"/>
  <c r="AF49" i="5" s="1"/>
  <c r="A67" i="5"/>
  <c r="AF67" i="5" s="1"/>
  <c r="A66" i="5"/>
  <c r="AF66" i="5" s="1"/>
  <c r="A69" i="5"/>
  <c r="AF69" i="5" s="1"/>
  <c r="A72" i="5"/>
  <c r="AF72" i="5" s="1"/>
  <c r="A75" i="5"/>
  <c r="AF75" i="5" s="1"/>
  <c r="A78" i="5"/>
  <c r="AF78" i="5" s="1"/>
  <c r="A81" i="5"/>
  <c r="AF81" i="5" s="1"/>
  <c r="A84" i="5"/>
  <c r="AF84" i="5" s="1"/>
  <c r="A87" i="5"/>
  <c r="AF87" i="5" s="1"/>
  <c r="A90" i="5"/>
  <c r="AF90" i="5" s="1"/>
  <c r="A93" i="5"/>
  <c r="AF93" i="5" s="1"/>
  <c r="A96" i="5"/>
  <c r="AF96" i="5" s="1"/>
  <c r="A99" i="5"/>
  <c r="AF99" i="5" s="1"/>
  <c r="A102" i="5"/>
  <c r="AF102" i="5" s="1"/>
  <c r="A105" i="5"/>
  <c r="AF105" i="5" s="1"/>
  <c r="A108" i="5"/>
  <c r="AF108" i="5" s="1"/>
  <c r="A111" i="5"/>
  <c r="AF111" i="5" s="1"/>
  <c r="A114" i="5"/>
  <c r="AF114" i="5" s="1"/>
  <c r="A117" i="5"/>
  <c r="AF117" i="5" s="1"/>
  <c r="A120" i="5"/>
  <c r="AF120" i="5" s="1"/>
  <c r="A123" i="5"/>
  <c r="AF123" i="5" s="1"/>
  <c r="A126" i="5"/>
  <c r="AF126" i="5" s="1"/>
  <c r="A129" i="5"/>
  <c r="AF129" i="5" s="1"/>
  <c r="A132" i="5"/>
  <c r="AF132" i="5" s="1"/>
  <c r="AB9" i="13"/>
  <c r="AB5" i="13"/>
  <c r="AB7" i="13"/>
  <c r="AB6" i="13"/>
  <c r="AB4" i="13"/>
  <c r="AB11" i="13"/>
  <c r="AI19" i="34" l="1"/>
  <c r="AI22" i="34"/>
  <c r="AI20" i="34"/>
  <c r="D95" i="5"/>
  <c r="D26" i="5"/>
  <c r="AI21" i="34"/>
  <c r="D107" i="5"/>
  <c r="D68" i="5"/>
  <c r="D53" i="5"/>
  <c r="D122" i="5"/>
  <c r="D101" i="5"/>
  <c r="D119" i="5"/>
  <c r="D125" i="5"/>
  <c r="D29" i="5"/>
  <c r="D8" i="5"/>
  <c r="D47" i="5"/>
  <c r="D131" i="5"/>
  <c r="D2" i="5"/>
  <c r="D65" i="5"/>
  <c r="D23" i="5"/>
  <c r="D116" i="5"/>
  <c r="D62" i="5"/>
  <c r="D92" i="5"/>
  <c r="D14" i="5"/>
  <c r="D17" i="5"/>
  <c r="D149" i="5"/>
  <c r="AF32" i="5"/>
  <c r="D113" i="5"/>
  <c r="D20" i="5"/>
  <c r="D44" i="5"/>
  <c r="D59" i="5"/>
  <c r="D38" i="5"/>
  <c r="D77" i="5"/>
  <c r="D35" i="5"/>
  <c r="D86" i="5"/>
  <c r="D32" i="5"/>
  <c r="D89" i="5"/>
  <c r="D11" i="5"/>
  <c r="D50" i="5"/>
  <c r="D104" i="5"/>
  <c r="D128" i="5"/>
  <c r="D56" i="5"/>
  <c r="D98" i="5"/>
  <c r="D80" i="5"/>
  <c r="D71" i="5"/>
  <c r="F35" i="3"/>
  <c r="D35" i="23"/>
  <c r="AF12" i="5"/>
  <c r="AF19" i="5"/>
  <c r="AF13" i="5"/>
  <c r="AF3" i="5"/>
  <c r="AF39" i="5"/>
  <c r="AF31" i="5"/>
  <c r="AF33" i="5"/>
  <c r="AF46" i="5"/>
  <c r="AF34" i="5"/>
  <c r="AF24" i="5"/>
  <c r="AF42" i="5"/>
  <c r="AF43" i="5"/>
  <c r="AF6" i="5"/>
  <c r="AF30" i="5"/>
  <c r="AF25" i="5"/>
  <c r="AF10" i="5"/>
  <c r="AF40" i="5"/>
  <c r="AF9" i="5"/>
  <c r="AF27" i="5"/>
  <c r="AF28" i="5"/>
  <c r="AF4" i="5"/>
  <c r="AF45" i="5"/>
  <c r="AF7" i="5"/>
  <c r="AF36" i="5"/>
  <c r="AF18" i="5"/>
  <c r="AF21" i="5"/>
  <c r="AF37" i="5"/>
  <c r="N12" i="34"/>
  <c r="S12" i="34"/>
  <c r="P12" i="34"/>
  <c r="R12" i="34"/>
  <c r="O12" i="34"/>
  <c r="N16" i="34"/>
  <c r="N10" i="34"/>
  <c r="N15" i="34"/>
  <c r="N11" i="34"/>
  <c r="O13" i="34"/>
  <c r="S13" i="34"/>
  <c r="R13" i="34"/>
  <c r="P13" i="34"/>
  <c r="O15" i="34"/>
  <c r="S15" i="34"/>
  <c r="R15" i="34"/>
  <c r="P15" i="34"/>
  <c r="N5" i="34"/>
  <c r="S14" i="34"/>
  <c r="R14" i="34"/>
  <c r="P14" i="34"/>
  <c r="O14" i="34"/>
  <c r="Q14" i="34"/>
  <c r="Q13" i="34"/>
  <c r="O8" i="34"/>
  <c r="S8" i="34"/>
  <c r="R8" i="34"/>
  <c r="P8" i="34"/>
  <c r="N8" i="34"/>
  <c r="S9" i="34"/>
  <c r="R9" i="34"/>
  <c r="P9" i="34"/>
  <c r="O9" i="34"/>
  <c r="P16" i="34"/>
  <c r="O16" i="34"/>
  <c r="S16" i="34"/>
  <c r="R16" i="34"/>
  <c r="Q15" i="34"/>
  <c r="N14" i="34"/>
  <c r="S7" i="34"/>
  <c r="R7" i="34"/>
  <c r="P7" i="34"/>
  <c r="O7" i="34"/>
  <c r="N6" i="34"/>
  <c r="Q7" i="34"/>
  <c r="N9" i="34"/>
  <c r="N13" i="34"/>
  <c r="S10" i="34"/>
  <c r="R10" i="34"/>
  <c r="P10" i="34"/>
  <c r="O10" i="34"/>
  <c r="O5" i="34"/>
  <c r="R5" i="34"/>
  <c r="S5" i="34"/>
  <c r="P5" i="34"/>
  <c r="O6" i="34"/>
  <c r="S6" i="34"/>
  <c r="R6" i="34"/>
  <c r="P6" i="34"/>
  <c r="N7" i="34"/>
  <c r="R11" i="34"/>
  <c r="P11" i="34"/>
  <c r="O11" i="34"/>
  <c r="S11" i="34"/>
  <c r="Q11" i="34"/>
  <c r="AI17" i="34"/>
  <c r="AI18" i="34"/>
  <c r="AF22" i="5"/>
  <c r="AH8" i="13"/>
  <c r="Z9" i="25" s="1"/>
  <c r="U16" i="25"/>
  <c r="AL17" i="34"/>
  <c r="AL16" i="34"/>
  <c r="AL15" i="34"/>
  <c r="C5" i="54"/>
  <c r="AH7" i="13"/>
  <c r="Z8" i="25" s="1"/>
  <c r="C6" i="54"/>
  <c r="L4" i="54"/>
  <c r="C3" i="54"/>
  <c r="U17" i="7"/>
  <c r="U16" i="7"/>
  <c r="E16" i="3" s="1"/>
  <c r="U18" i="7"/>
  <c r="E18" i="3" s="1"/>
  <c r="U8" i="7"/>
  <c r="E8" i="3" s="1"/>
  <c r="U22" i="7"/>
  <c r="E22" i="3" s="1"/>
  <c r="E20" i="3"/>
  <c r="U33" i="7"/>
  <c r="E33" i="3" s="1"/>
  <c r="E2" i="3"/>
  <c r="L2" i="3" s="1"/>
  <c r="G2" i="3" s="1"/>
  <c r="E47" i="3"/>
  <c r="E23" i="3"/>
  <c r="U10" i="7"/>
  <c r="E36" i="3"/>
  <c r="U41" i="7"/>
  <c r="E41" i="3" s="1"/>
  <c r="C4" i="54"/>
  <c r="AH2" i="13"/>
  <c r="Z3" i="25" s="1"/>
  <c r="M23" i="22"/>
  <c r="M36" i="22"/>
  <c r="B6" i="54"/>
  <c r="M3" i="55"/>
  <c r="O3" i="55" s="1"/>
  <c r="E22" i="34"/>
  <c r="AL5" i="34"/>
  <c r="E5" i="34"/>
  <c r="AC20" i="34"/>
  <c r="AC17" i="34"/>
  <c r="S30" i="5"/>
  <c r="AA30" i="5" s="1"/>
  <c r="AI14" i="34"/>
  <c r="E11" i="34"/>
  <c r="AC19" i="34"/>
  <c r="D18" i="34"/>
  <c r="D20" i="34"/>
  <c r="B4" i="54"/>
  <c r="AI8" i="34"/>
  <c r="AI6" i="34"/>
  <c r="E6" i="34"/>
  <c r="L5" i="54"/>
  <c r="E23" i="34"/>
  <c r="D17" i="34"/>
  <c r="D23" i="34"/>
  <c r="AF17" i="34"/>
  <c r="E12" i="34"/>
  <c r="AI12" i="34"/>
  <c r="AH9" i="13"/>
  <c r="AC11" i="34"/>
  <c r="AC18" i="34"/>
  <c r="AI7" i="34"/>
  <c r="D19" i="34"/>
  <c r="AF12" i="34"/>
  <c r="E10" i="34"/>
  <c r="AL14" i="34"/>
  <c r="F14" i="3"/>
  <c r="E19" i="34"/>
  <c r="AI15" i="34"/>
  <c r="E16" i="34"/>
  <c r="AF18" i="34"/>
  <c r="AC13" i="34"/>
  <c r="F8" i="3"/>
  <c r="E21" i="34"/>
  <c r="E14" i="34"/>
  <c r="D14" i="23"/>
  <c r="F9" i="3"/>
  <c r="AI13" i="34"/>
  <c r="E17" i="34"/>
  <c r="S40" i="34"/>
  <c r="E18" i="34"/>
  <c r="AI11" i="34"/>
  <c r="S8" i="5"/>
  <c r="Z8" i="5" s="1"/>
  <c r="S33" i="5"/>
  <c r="AA33" i="5" s="1"/>
  <c r="D30" i="23"/>
  <c r="AF15" i="34"/>
  <c r="E13" i="34"/>
  <c r="E8" i="34"/>
  <c r="D22" i="34"/>
  <c r="E27" i="34"/>
  <c r="AF14" i="34"/>
  <c r="E20" i="34"/>
  <c r="E26" i="34"/>
  <c r="S7" i="5"/>
  <c r="Y7" i="5" s="1"/>
  <c r="S19" i="5"/>
  <c r="Y19" i="5" s="1"/>
  <c r="F47" i="3"/>
  <c r="S47" i="5"/>
  <c r="X47" i="5" s="1"/>
  <c r="D46" i="23"/>
  <c r="C47" i="23"/>
  <c r="F19" i="3"/>
  <c r="E28" i="34"/>
  <c r="AL6" i="34"/>
  <c r="AC8" i="34"/>
  <c r="E7" i="34"/>
  <c r="AC15" i="34"/>
  <c r="AL7" i="34"/>
  <c r="E24" i="34"/>
  <c r="AI10" i="34"/>
  <c r="AC16" i="34"/>
  <c r="D25" i="34"/>
  <c r="AF11" i="34"/>
  <c r="E9" i="34"/>
  <c r="AC14" i="34"/>
  <c r="AL12" i="34"/>
  <c r="D21" i="34"/>
  <c r="AI9" i="34"/>
  <c r="AF19" i="34"/>
  <c r="S12" i="5"/>
  <c r="Z12" i="5" s="1"/>
  <c r="F7" i="3"/>
  <c r="S6" i="5"/>
  <c r="AA6" i="5" s="1"/>
  <c r="F12" i="3"/>
  <c r="AF6" i="34"/>
  <c r="D8" i="34"/>
  <c r="D12" i="34"/>
  <c r="D9" i="34"/>
  <c r="E15" i="34"/>
  <c r="AI5" i="34"/>
  <c r="D27" i="34"/>
  <c r="AC6" i="34"/>
  <c r="D10" i="34"/>
  <c r="E25" i="34"/>
  <c r="AC10" i="34"/>
  <c r="B5" i="54"/>
  <c r="L2" i="54"/>
  <c r="AF13" i="34"/>
  <c r="AC9" i="34"/>
  <c r="AL13" i="34"/>
  <c r="F46" i="3"/>
  <c r="C3" i="23"/>
  <c r="E3" i="3"/>
  <c r="M3" i="3" s="1"/>
  <c r="H3" i="3" s="1"/>
  <c r="S9" i="5"/>
  <c r="Z9" i="5" s="1"/>
  <c r="S39" i="5"/>
  <c r="AA39" i="5" s="1"/>
  <c r="D33" i="23"/>
  <c r="D39" i="23"/>
  <c r="E45" i="3"/>
  <c r="C45" i="23"/>
  <c r="E46" i="3"/>
  <c r="C46" i="23"/>
  <c r="F27" i="3"/>
  <c r="AF7" i="34"/>
  <c r="AL8" i="34"/>
  <c r="D5" i="34"/>
  <c r="AI16" i="34"/>
  <c r="AC5" i="34"/>
  <c r="AC12" i="34"/>
  <c r="D13" i="34"/>
  <c r="AL11" i="34"/>
  <c r="AL9" i="34"/>
  <c r="AF16" i="34"/>
  <c r="AL10" i="34"/>
  <c r="D26" i="34"/>
  <c r="D28" i="34"/>
  <c r="S40" i="5"/>
  <c r="X40" i="5" s="1"/>
  <c r="S35" i="5"/>
  <c r="Y35" i="5" s="1"/>
  <c r="C36" i="23"/>
  <c r="D29" i="23"/>
  <c r="F15" i="3"/>
  <c r="S29" i="5"/>
  <c r="AA29" i="5" s="1"/>
  <c r="S13" i="5"/>
  <c r="Z13" i="5" s="1"/>
  <c r="F13" i="3"/>
  <c r="S2" i="5"/>
  <c r="AA2" i="5" s="1"/>
  <c r="F2" i="3"/>
  <c r="E44" i="3"/>
  <c r="C44" i="23"/>
  <c r="E43" i="3"/>
  <c r="C43" i="23"/>
  <c r="S11" i="5"/>
  <c r="AA11" i="5" s="1"/>
  <c r="S18" i="5"/>
  <c r="Z18" i="5" s="1"/>
  <c r="S3" i="5"/>
  <c r="Z3" i="5" s="1"/>
  <c r="F18" i="3"/>
  <c r="F3" i="3"/>
  <c r="D34" i="23"/>
  <c r="S34" i="5"/>
  <c r="Y34" i="5" s="1"/>
  <c r="S27" i="5"/>
  <c r="AA27" i="5" s="1"/>
  <c r="C2" i="23"/>
  <c r="C23" i="23"/>
  <c r="D40" i="23"/>
  <c r="F44" i="3"/>
  <c r="D44" i="23"/>
  <c r="F6" i="3"/>
  <c r="AC7" i="34"/>
  <c r="AF5" i="34"/>
  <c r="D7" i="34"/>
  <c r="D16" i="34"/>
  <c r="AF20" i="34"/>
  <c r="D11" i="34"/>
  <c r="AF10" i="34"/>
  <c r="AF9" i="34"/>
  <c r="D15" i="34"/>
  <c r="D6" i="34"/>
  <c r="AF8" i="34"/>
  <c r="E31" i="3"/>
  <c r="C31" i="23"/>
  <c r="S10" i="5"/>
  <c r="AA10" i="5" s="1"/>
  <c r="F10" i="3"/>
  <c r="C20" i="23"/>
  <c r="S4" i="5"/>
  <c r="AA4" i="5" s="1"/>
  <c r="F4" i="3"/>
  <c r="E39" i="3"/>
  <c r="C39" i="23"/>
  <c r="E11" i="3"/>
  <c r="C11" i="23"/>
  <c r="E7" i="3"/>
  <c r="S7" i="3" s="1"/>
  <c r="I99" i="3" s="1"/>
  <c r="C7" i="23"/>
  <c r="E27" i="3"/>
  <c r="C27" i="23"/>
  <c r="E32" i="3"/>
  <c r="C32" i="23"/>
  <c r="E25" i="3"/>
  <c r="E37" i="3"/>
  <c r="C37" i="23"/>
  <c r="E30" i="3"/>
  <c r="C30" i="23"/>
  <c r="Y45" i="5"/>
  <c r="F11" i="3"/>
  <c r="F17" i="3"/>
  <c r="E28" i="3"/>
  <c r="C28" i="23"/>
  <c r="F24" i="3"/>
  <c r="S24" i="5"/>
  <c r="AA24" i="5" s="1"/>
  <c r="D24" i="23"/>
  <c r="E38" i="3"/>
  <c r="C38" i="23"/>
  <c r="F20" i="3"/>
  <c r="D20" i="23"/>
  <c r="S20" i="5"/>
  <c r="AA20" i="5" s="1"/>
  <c r="E26" i="3"/>
  <c r="C26" i="23"/>
  <c r="E29" i="3"/>
  <c r="C29" i="23"/>
  <c r="S16" i="5"/>
  <c r="Y16" i="5" s="1"/>
  <c r="F31" i="3"/>
  <c r="S31" i="5"/>
  <c r="X31" i="5" s="1"/>
  <c r="D31" i="23"/>
  <c r="F28" i="3"/>
  <c r="S28" i="5"/>
  <c r="AA28" i="5" s="1"/>
  <c r="D28" i="23"/>
  <c r="Z43" i="5"/>
  <c r="S5" i="5"/>
  <c r="X5" i="5" s="1"/>
  <c r="F16" i="3"/>
  <c r="F22" i="3"/>
  <c r="S22" i="5"/>
  <c r="X22" i="5" s="1"/>
  <c r="D22" i="23"/>
  <c r="E34" i="3"/>
  <c r="C34" i="23"/>
  <c r="F26" i="3"/>
  <c r="S26" i="5"/>
  <c r="X26" i="5" s="1"/>
  <c r="D26" i="23"/>
  <c r="F5" i="3"/>
  <c r="S15" i="5"/>
  <c r="Y15" i="5" s="1"/>
  <c r="F21" i="3"/>
  <c r="D21" i="23"/>
  <c r="S21" i="5"/>
  <c r="Y21" i="5" s="1"/>
  <c r="F32" i="3"/>
  <c r="S32" i="5"/>
  <c r="X32" i="5" s="1"/>
  <c r="D32" i="23"/>
  <c r="E24" i="3"/>
  <c r="C24" i="23"/>
  <c r="F41" i="3"/>
  <c r="D41" i="23"/>
  <c r="S41" i="5"/>
  <c r="X41" i="5" s="1"/>
  <c r="X43" i="5"/>
  <c r="S37" i="5"/>
  <c r="AA37" i="5" s="1"/>
  <c r="E42" i="3"/>
  <c r="C42" i="23"/>
  <c r="E40" i="3"/>
  <c r="C40" i="23"/>
  <c r="F38" i="3"/>
  <c r="S38" i="5"/>
  <c r="Y38" i="5" s="1"/>
  <c r="D38" i="23"/>
  <c r="F23" i="3"/>
  <c r="S23" i="5"/>
  <c r="Z23" i="5" s="1"/>
  <c r="S17" i="5"/>
  <c r="Z17" i="5" s="1"/>
  <c r="F25" i="3"/>
  <c r="D25" i="23"/>
  <c r="S25" i="5"/>
  <c r="F36" i="3"/>
  <c r="S36" i="5"/>
  <c r="Z36" i="5" s="1"/>
  <c r="D36" i="23"/>
  <c r="E35" i="3"/>
  <c r="C35" i="23"/>
  <c r="F42" i="3"/>
  <c r="S42" i="5"/>
  <c r="Z42" i="5" s="1"/>
  <c r="D42" i="23"/>
  <c r="E21" i="3"/>
  <c r="C21" i="23"/>
  <c r="F50" i="48"/>
  <c r="F37" i="48"/>
  <c r="F20" i="48"/>
  <c r="B17" i="10"/>
  <c r="F34" i="48"/>
  <c r="M27" i="22" s="1"/>
  <c r="B16" i="10"/>
  <c r="F4" i="48"/>
  <c r="F53" i="48"/>
  <c r="F35" i="48"/>
  <c r="M35" i="22" s="1"/>
  <c r="F7" i="48"/>
  <c r="F38" i="48"/>
  <c r="F52" i="48"/>
  <c r="F19" i="48"/>
  <c r="F54" i="48"/>
  <c r="F51" i="48"/>
  <c r="F39" i="48"/>
  <c r="B18" i="10"/>
  <c r="F5" i="48"/>
  <c r="F3" i="48"/>
  <c r="M3" i="22" s="1"/>
  <c r="F6" i="48"/>
  <c r="B15" i="10"/>
  <c r="F21" i="48"/>
  <c r="M21" i="22" s="1"/>
  <c r="F22" i="48"/>
  <c r="M22" i="22" s="1"/>
  <c r="F18" i="48"/>
  <c r="D24" i="34"/>
  <c r="D14" i="34"/>
  <c r="N54" i="22"/>
  <c r="U8" i="25"/>
  <c r="AH6" i="13"/>
  <c r="U12" i="25"/>
  <c r="AH5" i="13"/>
  <c r="U10" i="25"/>
  <c r="E9" i="3"/>
  <c r="C9" i="23"/>
  <c r="X44" i="5"/>
  <c r="Y44" i="5"/>
  <c r="X46" i="5"/>
  <c r="AA45" i="5"/>
  <c r="E13" i="3"/>
  <c r="C13" i="23"/>
  <c r="AH3" i="13"/>
  <c r="U6" i="25"/>
  <c r="E5" i="3"/>
  <c r="C5" i="23"/>
  <c r="Z46" i="5"/>
  <c r="Z45" i="5"/>
  <c r="F43" i="3"/>
  <c r="D43" i="23"/>
  <c r="E15" i="3"/>
  <c r="C15" i="23"/>
  <c r="AH4" i="13"/>
  <c r="U7" i="25"/>
  <c r="AA46" i="5"/>
  <c r="AA14" i="5"/>
  <c r="Z14" i="5"/>
  <c r="Y14" i="5"/>
  <c r="X14" i="5"/>
  <c r="F45" i="3"/>
  <c r="D45" i="23"/>
  <c r="E14" i="3"/>
  <c r="C14" i="23"/>
  <c r="L3" i="54"/>
  <c r="B3" i="54"/>
  <c r="AA43" i="5"/>
  <c r="X45" i="5"/>
  <c r="E6" i="3"/>
  <c r="C6" i="23"/>
  <c r="U5" i="25"/>
  <c r="F37" i="3"/>
  <c r="D37" i="23"/>
  <c r="E12" i="3"/>
  <c r="C12" i="23"/>
  <c r="Y46" i="5"/>
  <c r="Z44" i="5"/>
  <c r="Y43" i="5"/>
  <c r="E4" i="3"/>
  <c r="C4" i="23"/>
  <c r="E19" i="3"/>
  <c r="C19" i="23"/>
  <c r="AA44" i="5"/>
  <c r="E17" i="3" l="1"/>
  <c r="O17" i="3" s="1"/>
  <c r="H63" i="3" s="1"/>
  <c r="C17" i="23"/>
  <c r="W138" i="5"/>
  <c r="W136" i="5"/>
  <c r="W137" i="5"/>
  <c r="W135" i="5"/>
  <c r="W90" i="5"/>
  <c r="W89" i="5"/>
  <c r="W91" i="5"/>
  <c r="W92" i="5"/>
  <c r="W60" i="5"/>
  <c r="M37" i="22"/>
  <c r="M7" i="22"/>
  <c r="B20" i="10"/>
  <c r="Q2" i="3"/>
  <c r="I2" i="3" s="1"/>
  <c r="C8" i="23"/>
  <c r="P2" i="3"/>
  <c r="H94" i="3" s="1"/>
  <c r="M2" i="3"/>
  <c r="H2" i="3" s="1"/>
  <c r="O2" i="3"/>
  <c r="H48" i="3" s="1"/>
  <c r="C33" i="23"/>
  <c r="N2" i="3"/>
  <c r="G94" i="3" s="1"/>
  <c r="U94" i="5" s="1"/>
  <c r="C22" i="23"/>
  <c r="R2" i="3"/>
  <c r="I48" i="3" s="1"/>
  <c r="S2" i="3"/>
  <c r="I94" i="3" s="1"/>
  <c r="Q23" i="3"/>
  <c r="I23" i="3" s="1"/>
  <c r="C16" i="23"/>
  <c r="S23" i="3"/>
  <c r="I115" i="3" s="1"/>
  <c r="L22" i="3"/>
  <c r="G68" i="3" s="1"/>
  <c r="U68" i="5" s="1"/>
  <c r="N22" i="3"/>
  <c r="G114" i="3" s="1"/>
  <c r="U114" i="5" s="1"/>
  <c r="M22" i="3"/>
  <c r="H22" i="3" s="1"/>
  <c r="R8" i="3"/>
  <c r="I54" i="3" s="1"/>
  <c r="M8" i="3"/>
  <c r="H8" i="3" s="1"/>
  <c r="L8" i="3"/>
  <c r="G54" i="3" s="1"/>
  <c r="U54" i="5" s="1"/>
  <c r="S8" i="3"/>
  <c r="I100" i="3" s="1"/>
  <c r="Q8" i="3"/>
  <c r="I8" i="3" s="1"/>
  <c r="P8" i="3"/>
  <c r="H100" i="3" s="1"/>
  <c r="N8" i="3"/>
  <c r="G100" i="3" s="1"/>
  <c r="U100" i="5" s="1"/>
  <c r="O8" i="3"/>
  <c r="H54" i="3" s="1"/>
  <c r="S18" i="3"/>
  <c r="I110" i="3" s="1"/>
  <c r="N18" i="3"/>
  <c r="G110" i="3" s="1"/>
  <c r="U110" i="5" s="1"/>
  <c r="P16" i="3"/>
  <c r="H108" i="3" s="1"/>
  <c r="M16" i="3"/>
  <c r="H16" i="3" s="1"/>
  <c r="L36" i="3"/>
  <c r="G36" i="3" s="1"/>
  <c r="U36" i="5" s="1"/>
  <c r="C18" i="23"/>
  <c r="N21" i="3"/>
  <c r="G113" i="3" s="1"/>
  <c r="U113" i="5" s="1"/>
  <c r="S30" i="3"/>
  <c r="I122" i="3" s="1"/>
  <c r="S27" i="3"/>
  <c r="I119" i="3" s="1"/>
  <c r="C10" i="23"/>
  <c r="P23" i="3"/>
  <c r="H115" i="3" s="1"/>
  <c r="Q24" i="3"/>
  <c r="I24" i="3" s="1"/>
  <c r="S43" i="3"/>
  <c r="I135" i="3" s="1"/>
  <c r="Q45" i="3"/>
  <c r="I45" i="3" s="1"/>
  <c r="L20" i="3"/>
  <c r="G20" i="3" s="1"/>
  <c r="U20" i="5" s="1"/>
  <c r="C41" i="23"/>
  <c r="M47" i="3"/>
  <c r="H47" i="3" s="1"/>
  <c r="S33" i="3"/>
  <c r="I125" i="3" s="1"/>
  <c r="M33" i="3"/>
  <c r="H33" i="3" s="1"/>
  <c r="R33" i="3"/>
  <c r="I79" i="3" s="1"/>
  <c r="N33" i="3"/>
  <c r="G125" i="3" s="1"/>
  <c r="U125" i="5" s="1"/>
  <c r="P33" i="3"/>
  <c r="H125" i="3" s="1"/>
  <c r="L33" i="3"/>
  <c r="G79" i="3" s="1"/>
  <c r="U79" i="5" s="1"/>
  <c r="Q33" i="3"/>
  <c r="I33" i="3" s="1"/>
  <c r="O33" i="3"/>
  <c r="H79" i="3" s="1"/>
  <c r="L41" i="3"/>
  <c r="G41" i="3" s="1"/>
  <c r="U41" i="5" s="1"/>
  <c r="M41" i="3"/>
  <c r="H41" i="3" s="1"/>
  <c r="R41" i="3"/>
  <c r="I87" i="3" s="1"/>
  <c r="N41" i="3"/>
  <c r="G133" i="3" s="1"/>
  <c r="U133" i="5" s="1"/>
  <c r="S41" i="3"/>
  <c r="I133" i="3" s="1"/>
  <c r="O41" i="3"/>
  <c r="H87" i="3" s="1"/>
  <c r="Q41" i="3"/>
  <c r="I41" i="3" s="1"/>
  <c r="P41" i="3"/>
  <c r="H133" i="3" s="1"/>
  <c r="M36" i="3"/>
  <c r="H36" i="3" s="1"/>
  <c r="Q16" i="3"/>
  <c r="I16" i="3" s="1"/>
  <c r="O18" i="3"/>
  <c r="H64" i="3" s="1"/>
  <c r="P36" i="3"/>
  <c r="H128" i="3" s="1"/>
  <c r="S47" i="3"/>
  <c r="I139" i="3" s="1"/>
  <c r="N36" i="3"/>
  <c r="G128" i="3" s="1"/>
  <c r="U128" i="5" s="1"/>
  <c r="R23" i="3"/>
  <c r="I69" i="3" s="1"/>
  <c r="R26" i="3"/>
  <c r="I72" i="3" s="1"/>
  <c r="P47" i="3"/>
  <c r="H139" i="3" s="1"/>
  <c r="S16" i="3"/>
  <c r="I108" i="3" s="1"/>
  <c r="Q18" i="3"/>
  <c r="I18" i="3" s="1"/>
  <c r="N23" i="3"/>
  <c r="G115" i="3" s="1"/>
  <c r="U115" i="5" s="1"/>
  <c r="R47" i="3"/>
  <c r="I93" i="3" s="1"/>
  <c r="S36" i="3"/>
  <c r="I128" i="3" s="1"/>
  <c r="P20" i="3"/>
  <c r="H112" i="3" s="1"/>
  <c r="O37" i="3"/>
  <c r="H83" i="3" s="1"/>
  <c r="R31" i="3"/>
  <c r="I77" i="3" s="1"/>
  <c r="L44" i="3"/>
  <c r="G90" i="3" s="1"/>
  <c r="U90" i="5" s="1"/>
  <c r="S20" i="3"/>
  <c r="I112" i="3" s="1"/>
  <c r="N47" i="3"/>
  <c r="G139" i="3" s="1"/>
  <c r="U139" i="5" s="1"/>
  <c r="R16" i="3"/>
  <c r="I62" i="3" s="1"/>
  <c r="P18" i="3"/>
  <c r="H110" i="3" s="1"/>
  <c r="O20" i="3"/>
  <c r="H66" i="3" s="1"/>
  <c r="L47" i="3"/>
  <c r="G47" i="3" s="1"/>
  <c r="U47" i="5" s="1"/>
  <c r="Q20" i="3"/>
  <c r="I20" i="3" s="1"/>
  <c r="P22" i="3"/>
  <c r="H114" i="3" s="1"/>
  <c r="Q28" i="3"/>
  <c r="I28" i="3" s="1"/>
  <c r="N20" i="3"/>
  <c r="G112" i="3" s="1"/>
  <c r="U112" i="5" s="1"/>
  <c r="L16" i="3"/>
  <c r="G16" i="3" s="1"/>
  <c r="U16" i="5" s="1"/>
  <c r="R18" i="3"/>
  <c r="I64" i="3" s="1"/>
  <c r="R22" i="3"/>
  <c r="I68" i="3" s="1"/>
  <c r="O23" i="3"/>
  <c r="H69" i="3" s="1"/>
  <c r="O36" i="3"/>
  <c r="H82" i="3" s="1"/>
  <c r="Q40" i="3"/>
  <c r="I40" i="3" s="1"/>
  <c r="L23" i="3"/>
  <c r="G69" i="3" s="1"/>
  <c r="U69" i="5" s="1"/>
  <c r="M25" i="3"/>
  <c r="H25" i="3" s="1"/>
  <c r="O47" i="3"/>
  <c r="H93" i="3" s="1"/>
  <c r="Q47" i="3"/>
  <c r="I47" i="3" s="1"/>
  <c r="S35" i="3"/>
  <c r="I127" i="3" s="1"/>
  <c r="Q36" i="3"/>
  <c r="I36" i="3" s="1"/>
  <c r="O11" i="3"/>
  <c r="H57" i="3" s="1"/>
  <c r="N16" i="3"/>
  <c r="G108" i="3" s="1"/>
  <c r="U108" i="5" s="1"/>
  <c r="M23" i="3"/>
  <c r="H23" i="3" s="1"/>
  <c r="P42" i="3"/>
  <c r="H134" i="3" s="1"/>
  <c r="R20" i="3"/>
  <c r="I66" i="3" s="1"/>
  <c r="Q34" i="3"/>
  <c r="I34" i="3" s="1"/>
  <c r="P38" i="3"/>
  <c r="H130" i="3" s="1"/>
  <c r="Q32" i="3"/>
  <c r="I32" i="3" s="1"/>
  <c r="S46" i="3"/>
  <c r="I138" i="3" s="1"/>
  <c r="E10" i="3"/>
  <c r="M20" i="3"/>
  <c r="H20" i="3" s="1"/>
  <c r="O22" i="3"/>
  <c r="H68" i="3" s="1"/>
  <c r="L18" i="3"/>
  <c r="G64" i="3" s="1"/>
  <c r="U64" i="5" s="1"/>
  <c r="S22" i="3"/>
  <c r="I114" i="3" s="1"/>
  <c r="R36" i="3"/>
  <c r="I82" i="3" s="1"/>
  <c r="O16" i="3"/>
  <c r="H62" i="3" s="1"/>
  <c r="M18" i="3"/>
  <c r="H18" i="3" s="1"/>
  <c r="Q22" i="3"/>
  <c r="I22" i="3" s="1"/>
  <c r="M29" i="3"/>
  <c r="H29" i="3" s="1"/>
  <c r="Q39" i="3"/>
  <c r="I39" i="3" s="1"/>
  <c r="N45" i="3"/>
  <c r="G137" i="3" s="1"/>
  <c r="U137" i="5" s="1"/>
  <c r="Z10" i="25"/>
  <c r="AN5" i="13"/>
  <c r="P3" i="3"/>
  <c r="H95" i="3" s="1"/>
  <c r="M18" i="22"/>
  <c r="R45" i="3"/>
  <c r="I91" i="3" s="1"/>
  <c r="X3" i="5"/>
  <c r="L3" i="3"/>
  <c r="G3" i="3" s="1"/>
  <c r="Q3" i="3"/>
  <c r="I3" i="3" s="1"/>
  <c r="L46" i="3"/>
  <c r="G46" i="3" s="1"/>
  <c r="U46" i="5" s="1"/>
  <c r="R3" i="3"/>
  <c r="I49" i="3" s="1"/>
  <c r="N3" i="3"/>
  <c r="G95" i="3" s="1"/>
  <c r="U95" i="5" s="1"/>
  <c r="O3" i="3"/>
  <c r="H49" i="3" s="1"/>
  <c r="S3" i="3"/>
  <c r="I95" i="3" s="1"/>
  <c r="O45" i="3"/>
  <c r="H91" i="3" s="1"/>
  <c r="P45" i="3"/>
  <c r="H137" i="3" s="1"/>
  <c r="L45" i="3"/>
  <c r="G45" i="3" s="1"/>
  <c r="U45" i="5" s="1"/>
  <c r="Y30" i="5"/>
  <c r="W76" i="5" s="1"/>
  <c r="X30" i="5"/>
  <c r="Z30" i="5"/>
  <c r="AA8" i="5"/>
  <c r="Y33" i="5"/>
  <c r="W79" i="5" s="1"/>
  <c r="M45" i="3"/>
  <c r="H45" i="3" s="1"/>
  <c r="M13" i="22"/>
  <c r="M31" i="22"/>
  <c r="M20" i="22"/>
  <c r="M5" i="22"/>
  <c r="M41" i="22"/>
  <c r="M19" i="22"/>
  <c r="M15" i="22"/>
  <c r="M9" i="22"/>
  <c r="M30" i="22"/>
  <c r="M4" i="22"/>
  <c r="M32" i="22"/>
  <c r="L50" i="2" s="1"/>
  <c r="M50" i="2" s="1"/>
  <c r="M39" i="22"/>
  <c r="M8" i="22"/>
  <c r="M14" i="22"/>
  <c r="M45" i="22"/>
  <c r="M38" i="22"/>
  <c r="M34" i="22"/>
  <c r="M43" i="22"/>
  <c r="M25" i="22"/>
  <c r="M44" i="22"/>
  <c r="M10" i="22"/>
  <c r="M6" i="22"/>
  <c r="X8" i="5"/>
  <c r="Y8" i="5"/>
  <c r="X4" i="5"/>
  <c r="AA32" i="5"/>
  <c r="Y4" i="5"/>
  <c r="X16" i="5"/>
  <c r="L32" i="3"/>
  <c r="G32" i="3" s="1"/>
  <c r="U32" i="5" s="1"/>
  <c r="Z7" i="5"/>
  <c r="X37" i="5"/>
  <c r="AA7" i="5"/>
  <c r="W99" i="5" s="1"/>
  <c r="Z33" i="5"/>
  <c r="X33" i="5"/>
  <c r="X7" i="5"/>
  <c r="Z16" i="5"/>
  <c r="AA16" i="5"/>
  <c r="W108" i="5" s="1"/>
  <c r="Q42" i="3"/>
  <c r="I42" i="3" s="1"/>
  <c r="S37" i="3"/>
  <c r="I129" i="3" s="1"/>
  <c r="Z19" i="5"/>
  <c r="AA38" i="5"/>
  <c r="W38" i="5" s="1"/>
  <c r="Z38" i="5"/>
  <c r="Q35" i="3"/>
  <c r="I35" i="3" s="1"/>
  <c r="AA19" i="5"/>
  <c r="W111" i="5" s="1"/>
  <c r="AA12" i="5"/>
  <c r="X19" i="5"/>
  <c r="X29" i="5"/>
  <c r="Z29" i="5"/>
  <c r="R34" i="3"/>
  <c r="I80" i="3" s="1"/>
  <c r="Y29" i="5"/>
  <c r="M34" i="3"/>
  <c r="H34" i="3" s="1"/>
  <c r="Z4" i="5"/>
  <c r="Y3" i="5"/>
  <c r="AA3" i="5"/>
  <c r="Q27" i="3"/>
  <c r="I27" i="3" s="1"/>
  <c r="X2" i="5"/>
  <c r="AA9" i="5"/>
  <c r="Y2" i="5"/>
  <c r="W94" i="5" s="1"/>
  <c r="X9" i="5"/>
  <c r="Z2" i="5"/>
  <c r="Y9" i="5"/>
  <c r="S28" i="3"/>
  <c r="I120" i="3" s="1"/>
  <c r="O28" i="3"/>
  <c r="H74" i="3" s="1"/>
  <c r="AA18" i="5"/>
  <c r="R28" i="3"/>
  <c r="I74" i="3" s="1"/>
  <c r="Q37" i="3"/>
  <c r="I37" i="3" s="1"/>
  <c r="N28" i="3"/>
  <c r="G120" i="3" s="1"/>
  <c r="U120" i="5" s="1"/>
  <c r="M28" i="3"/>
  <c r="H28" i="3" s="1"/>
  <c r="X18" i="5"/>
  <c r="X35" i="5"/>
  <c r="Y18" i="5"/>
  <c r="L37" i="3"/>
  <c r="G37" i="3" s="1"/>
  <c r="U37" i="5" s="1"/>
  <c r="AA35" i="5"/>
  <c r="W127" i="5" s="1"/>
  <c r="N30" i="3"/>
  <c r="G122" i="3" s="1"/>
  <c r="U122" i="5" s="1"/>
  <c r="O30" i="3"/>
  <c r="H76" i="3" s="1"/>
  <c r="P27" i="3"/>
  <c r="H119" i="3" s="1"/>
  <c r="X6" i="5"/>
  <c r="Y6" i="5"/>
  <c r="Z6" i="5"/>
  <c r="Y47" i="5"/>
  <c r="AA47" i="5"/>
  <c r="Z47" i="5"/>
  <c r="P25" i="3"/>
  <c r="H117" i="3" s="1"/>
  <c r="N40" i="3"/>
  <c r="G132" i="3" s="1"/>
  <c r="U132" i="5" s="1"/>
  <c r="P40" i="3"/>
  <c r="H132" i="3" s="1"/>
  <c r="Q44" i="3"/>
  <c r="I44" i="3" s="1"/>
  <c r="O44" i="3"/>
  <c r="H90" i="3" s="1"/>
  <c r="M44" i="3"/>
  <c r="H44" i="3" s="1"/>
  <c r="P34" i="3"/>
  <c r="H126" i="3" s="1"/>
  <c r="Z35" i="5"/>
  <c r="P37" i="3"/>
  <c r="H129" i="3" s="1"/>
  <c r="S11" i="3"/>
  <c r="I103" i="3" s="1"/>
  <c r="AA13" i="5"/>
  <c r="P43" i="3"/>
  <c r="H135" i="3" s="1"/>
  <c r="R43" i="3"/>
  <c r="I89" i="3" s="1"/>
  <c r="M43" i="3"/>
  <c r="H43" i="3" s="1"/>
  <c r="Y13" i="5"/>
  <c r="L38" i="3"/>
  <c r="G38" i="3" s="1"/>
  <c r="U38" i="5" s="1"/>
  <c r="Q11" i="3"/>
  <c r="I11" i="3" s="1"/>
  <c r="R11" i="3"/>
  <c r="I57" i="3" s="1"/>
  <c r="R38" i="3"/>
  <c r="I84" i="3" s="1"/>
  <c r="Q43" i="3"/>
  <c r="I43" i="3" s="1"/>
  <c r="N46" i="3"/>
  <c r="G138" i="3" s="1"/>
  <c r="U138" i="5" s="1"/>
  <c r="Q46" i="3"/>
  <c r="I46" i="3" s="1"/>
  <c r="M7" i="3"/>
  <c r="H7" i="3" s="1"/>
  <c r="R46" i="3"/>
  <c r="I92" i="3" s="1"/>
  <c r="P46" i="3"/>
  <c r="H138" i="3" s="1"/>
  <c r="L24" i="3"/>
  <c r="G70" i="3" s="1"/>
  <c r="U70" i="5" s="1"/>
  <c r="Y40" i="5"/>
  <c r="O46" i="3"/>
  <c r="H92" i="3" s="1"/>
  <c r="M46" i="3"/>
  <c r="H46" i="3" s="1"/>
  <c r="X12" i="5"/>
  <c r="Y10" i="5"/>
  <c r="W56" i="5" s="1"/>
  <c r="Z39" i="5"/>
  <c r="Y12" i="5"/>
  <c r="Z10" i="5"/>
  <c r="Y39" i="5"/>
  <c r="Q21" i="3"/>
  <c r="I21" i="3" s="1"/>
  <c r="Z41" i="5"/>
  <c r="R32" i="3"/>
  <c r="I78" i="3" s="1"/>
  <c r="X34" i="5"/>
  <c r="AA34" i="5"/>
  <c r="W126" i="5" s="1"/>
  <c r="X28" i="5"/>
  <c r="O42" i="3"/>
  <c r="H88" i="3" s="1"/>
  <c r="Z34" i="5"/>
  <c r="S45" i="3"/>
  <c r="I137" i="3" s="1"/>
  <c r="S42" i="3"/>
  <c r="I134" i="3" s="1"/>
  <c r="AA36" i="5"/>
  <c r="AA26" i="5"/>
  <c r="N7" i="3"/>
  <c r="G99" i="3" s="1"/>
  <c r="U99" i="5" s="1"/>
  <c r="AA17" i="5"/>
  <c r="Y11" i="5"/>
  <c r="Z40" i="5"/>
  <c r="X39" i="5"/>
  <c r="AA41" i="5"/>
  <c r="AA40" i="5"/>
  <c r="R24" i="3"/>
  <c r="I70" i="3" s="1"/>
  <c r="R44" i="3"/>
  <c r="I90" i="3" s="1"/>
  <c r="O39" i="3"/>
  <c r="H85" i="3" s="1"/>
  <c r="P39" i="3"/>
  <c r="H131" i="3" s="1"/>
  <c r="N44" i="3"/>
  <c r="G136" i="3" s="1"/>
  <c r="R39" i="3"/>
  <c r="I85" i="3" s="1"/>
  <c r="L39" i="3"/>
  <c r="G39" i="3" s="1"/>
  <c r="U39" i="5" s="1"/>
  <c r="S39" i="3"/>
  <c r="I131" i="3" s="1"/>
  <c r="M39" i="3"/>
  <c r="H39" i="3" s="1"/>
  <c r="P24" i="3"/>
  <c r="H116" i="3" s="1"/>
  <c r="P44" i="3"/>
  <c r="H136" i="3" s="1"/>
  <c r="S44" i="3"/>
  <c r="I136" i="3" s="1"/>
  <c r="Z31" i="5"/>
  <c r="N37" i="3"/>
  <c r="G129" i="3" s="1"/>
  <c r="U129" i="5" s="1"/>
  <c r="P35" i="3"/>
  <c r="H127" i="3" s="1"/>
  <c r="X13" i="5"/>
  <c r="Z11" i="5"/>
  <c r="Y37" i="5"/>
  <c r="AA5" i="5"/>
  <c r="O35" i="3"/>
  <c r="H81" i="3" s="1"/>
  <c r="Q38" i="3"/>
  <c r="I38" i="3" s="1"/>
  <c r="N43" i="3"/>
  <c r="G135" i="3" s="1"/>
  <c r="X11" i="5"/>
  <c r="Y5" i="5"/>
  <c r="S38" i="3"/>
  <c r="I130" i="3" s="1"/>
  <c r="N38" i="3"/>
  <c r="G130" i="3" s="1"/>
  <c r="U130" i="5" s="1"/>
  <c r="Y27" i="5"/>
  <c r="Q7" i="3"/>
  <c r="I7" i="3" s="1"/>
  <c r="M11" i="3"/>
  <c r="H11" i="3" s="1"/>
  <c r="X38" i="5"/>
  <c r="R7" i="3"/>
  <c r="I53" i="3" s="1"/>
  <c r="Z5" i="5"/>
  <c r="O38" i="3"/>
  <c r="H84" i="3" s="1"/>
  <c r="AA21" i="5"/>
  <c r="W21" i="5" s="1"/>
  <c r="M35" i="3"/>
  <c r="H35" i="3" s="1"/>
  <c r="Y26" i="5"/>
  <c r="Z37" i="5"/>
  <c r="N11" i="3"/>
  <c r="G103" i="3" s="1"/>
  <c r="U103" i="5" s="1"/>
  <c r="Z26" i="5"/>
  <c r="X21" i="5"/>
  <c r="P26" i="3"/>
  <c r="H118" i="3" s="1"/>
  <c r="X27" i="5"/>
  <c r="L11" i="3"/>
  <c r="G57" i="3" s="1"/>
  <c r="U57" i="5" s="1"/>
  <c r="Z27" i="5"/>
  <c r="P11" i="3"/>
  <c r="H103" i="3" s="1"/>
  <c r="Z21" i="5"/>
  <c r="N35" i="3"/>
  <c r="G127" i="3" s="1"/>
  <c r="U127" i="5" s="1"/>
  <c r="L43" i="3"/>
  <c r="G89" i="3" s="1"/>
  <c r="U89" i="5" s="1"/>
  <c r="R35" i="3"/>
  <c r="I81" i="3" s="1"/>
  <c r="Z15" i="5"/>
  <c r="AA15" i="5"/>
  <c r="W61" i="5" s="1"/>
  <c r="O43" i="3"/>
  <c r="H89" i="3" s="1"/>
  <c r="S34" i="3"/>
  <c r="I126" i="3" s="1"/>
  <c r="X15" i="5"/>
  <c r="S40" i="3"/>
  <c r="I132" i="3" s="1"/>
  <c r="N34" i="3"/>
  <c r="G126" i="3" s="1"/>
  <c r="U126" i="5" s="1"/>
  <c r="N25" i="3"/>
  <c r="G117" i="3" s="1"/>
  <c r="U117" i="5" s="1"/>
  <c r="Q29" i="3"/>
  <c r="I29" i="3" s="1"/>
  <c r="N31" i="3"/>
  <c r="G123" i="3" s="1"/>
  <c r="U123" i="5" s="1"/>
  <c r="O29" i="3"/>
  <c r="H75" i="3" s="1"/>
  <c r="L31" i="3"/>
  <c r="G31" i="3" s="1"/>
  <c r="U31" i="5" s="1"/>
  <c r="M31" i="3"/>
  <c r="H31" i="3" s="1"/>
  <c r="Q31" i="3"/>
  <c r="I31" i="3" s="1"/>
  <c r="P31" i="3"/>
  <c r="H123" i="3" s="1"/>
  <c r="O25" i="3"/>
  <c r="H71" i="3" s="1"/>
  <c r="L29" i="3"/>
  <c r="G29" i="3" s="1"/>
  <c r="U29" i="5" s="1"/>
  <c r="R25" i="3"/>
  <c r="I71" i="3" s="1"/>
  <c r="S31" i="3"/>
  <c r="I123" i="3" s="1"/>
  <c r="Z28" i="5"/>
  <c r="Y28" i="5"/>
  <c r="X17" i="5"/>
  <c r="L25" i="3"/>
  <c r="G71" i="3" s="1"/>
  <c r="U71" i="5" s="1"/>
  <c r="R40" i="3"/>
  <c r="I86" i="3" s="1"/>
  <c r="O40" i="3"/>
  <c r="H86" i="3" s="1"/>
  <c r="O31" i="3"/>
  <c r="H77" i="3" s="1"/>
  <c r="Y17" i="5"/>
  <c r="S25" i="3"/>
  <c r="I117" i="3" s="1"/>
  <c r="Q25" i="3"/>
  <c r="I25" i="3" s="1"/>
  <c r="R30" i="3"/>
  <c r="I76" i="3" s="1"/>
  <c r="Y23" i="5"/>
  <c r="L30" i="3"/>
  <c r="G76" i="3" s="1"/>
  <c r="U76" i="5" s="1"/>
  <c r="M27" i="3"/>
  <c r="H27" i="3" s="1"/>
  <c r="Q30" i="3"/>
  <c r="I30" i="3" s="1"/>
  <c r="Z22" i="5"/>
  <c r="O27" i="3"/>
  <c r="H73" i="3" s="1"/>
  <c r="M30" i="3"/>
  <c r="H30" i="3" s="1"/>
  <c r="N27" i="3"/>
  <c r="G119" i="3" s="1"/>
  <c r="U119" i="5" s="1"/>
  <c r="X10" i="5"/>
  <c r="L27" i="3"/>
  <c r="G73" i="3" s="1"/>
  <c r="U73" i="5" s="1"/>
  <c r="M42" i="3"/>
  <c r="H42" i="3" s="1"/>
  <c r="Y41" i="5"/>
  <c r="O24" i="3"/>
  <c r="H70" i="3" s="1"/>
  <c r="O7" i="3"/>
  <c r="H53" i="3" s="1"/>
  <c r="AA23" i="5"/>
  <c r="N24" i="3"/>
  <c r="G116" i="3" s="1"/>
  <c r="U116" i="5" s="1"/>
  <c r="O21" i="3"/>
  <c r="H67" i="3" s="1"/>
  <c r="M24" i="3"/>
  <c r="H24" i="3" s="1"/>
  <c r="X23" i="5"/>
  <c r="AA31" i="5"/>
  <c r="Y24" i="5"/>
  <c r="M26" i="3"/>
  <c r="H26" i="3" s="1"/>
  <c r="P7" i="3"/>
  <c r="H99" i="3" s="1"/>
  <c r="L26" i="3"/>
  <c r="G72" i="3" s="1"/>
  <c r="U72" i="5" s="1"/>
  <c r="P21" i="3"/>
  <c r="H113" i="3" s="1"/>
  <c r="AA22" i="5"/>
  <c r="S24" i="3"/>
  <c r="I116" i="3" s="1"/>
  <c r="N32" i="3"/>
  <c r="G124" i="3" s="1"/>
  <c r="U124" i="5" s="1"/>
  <c r="Z24" i="5"/>
  <c r="O26" i="3"/>
  <c r="H72" i="3" s="1"/>
  <c r="X36" i="5"/>
  <c r="L7" i="3"/>
  <c r="G53" i="3" s="1"/>
  <c r="U53" i="5" s="1"/>
  <c r="S26" i="3"/>
  <c r="I118" i="3" s="1"/>
  <c r="Y31" i="5"/>
  <c r="O32" i="3"/>
  <c r="H78" i="3" s="1"/>
  <c r="S21" i="3"/>
  <c r="I113" i="3" s="1"/>
  <c r="R42" i="3"/>
  <c r="I88" i="3" s="1"/>
  <c r="Z20" i="5"/>
  <c r="M21" i="3"/>
  <c r="H21" i="3" s="1"/>
  <c r="R21" i="3"/>
  <c r="I67" i="3" s="1"/>
  <c r="N42" i="3"/>
  <c r="X24" i="5"/>
  <c r="Y36" i="5"/>
  <c r="Y20" i="5"/>
  <c r="X20" i="5"/>
  <c r="G48" i="3"/>
  <c r="U48" i="5" s="1"/>
  <c r="W45" i="5"/>
  <c r="S29" i="3"/>
  <c r="I121" i="3" s="1"/>
  <c r="Q26" i="3"/>
  <c r="I26" i="3" s="1"/>
  <c r="N26" i="3"/>
  <c r="G118" i="3" s="1"/>
  <c r="U118" i="5" s="1"/>
  <c r="M38" i="3"/>
  <c r="H38" i="3" s="1"/>
  <c r="Y22" i="5"/>
  <c r="AA42" i="5"/>
  <c r="L35" i="3"/>
  <c r="G35" i="3" s="1"/>
  <c r="U35" i="5" s="1"/>
  <c r="X42" i="5"/>
  <c r="M40" i="3"/>
  <c r="H40" i="3" s="1"/>
  <c r="L40" i="3"/>
  <c r="G40" i="3" s="1"/>
  <c r="U40" i="5" s="1"/>
  <c r="M32" i="3"/>
  <c r="H32" i="3" s="1"/>
  <c r="P32" i="3"/>
  <c r="H124" i="3" s="1"/>
  <c r="S32" i="3"/>
  <c r="I124" i="3" s="1"/>
  <c r="L21" i="3"/>
  <c r="G67" i="3" s="1"/>
  <c r="U67" i="5" s="1"/>
  <c r="O34" i="3"/>
  <c r="H80" i="3" s="1"/>
  <c r="L34" i="3"/>
  <c r="G34" i="3" s="1"/>
  <c r="U34" i="5" s="1"/>
  <c r="AA25" i="5"/>
  <c r="Z25" i="5"/>
  <c r="Y25" i="5"/>
  <c r="X25" i="5"/>
  <c r="L42" i="3"/>
  <c r="G88" i="3" s="1"/>
  <c r="U88" i="5" s="1"/>
  <c r="L28" i="3"/>
  <c r="G74" i="3" s="1"/>
  <c r="U74" i="5" s="1"/>
  <c r="P28" i="3"/>
  <c r="H120" i="3" s="1"/>
  <c r="P30" i="3"/>
  <c r="H122" i="3" s="1"/>
  <c r="R27" i="3"/>
  <c r="I73" i="3" s="1"/>
  <c r="R29" i="3"/>
  <c r="I75" i="3" s="1"/>
  <c r="N29" i="3"/>
  <c r="G121" i="3" s="1"/>
  <c r="U121" i="5" s="1"/>
  <c r="Y42" i="5"/>
  <c r="Y32" i="5"/>
  <c r="P29" i="3"/>
  <c r="H121" i="3" s="1"/>
  <c r="Z32" i="5"/>
  <c r="M37" i="3"/>
  <c r="H37" i="3" s="1"/>
  <c r="R37" i="3"/>
  <c r="I83" i="3" s="1"/>
  <c r="N39" i="3"/>
  <c r="G131" i="3" s="1"/>
  <c r="U131" i="5" s="1"/>
  <c r="U2" i="5"/>
  <c r="N9" i="3"/>
  <c r="G101" i="3" s="1"/>
  <c r="M9" i="3"/>
  <c r="H9" i="3" s="1"/>
  <c r="L9" i="3"/>
  <c r="G9" i="3" s="1"/>
  <c r="Q9" i="3"/>
  <c r="I9" i="3" s="1"/>
  <c r="S9" i="3"/>
  <c r="I101" i="3" s="1"/>
  <c r="R9" i="3"/>
  <c r="I55" i="3" s="1"/>
  <c r="P9" i="3"/>
  <c r="H101" i="3" s="1"/>
  <c r="O9" i="3"/>
  <c r="H55" i="3" s="1"/>
  <c r="S13" i="3"/>
  <c r="I105" i="3" s="1"/>
  <c r="R13" i="3"/>
  <c r="I59" i="3" s="1"/>
  <c r="Q13" i="3"/>
  <c r="I13" i="3" s="1"/>
  <c r="P13" i="3"/>
  <c r="H105" i="3" s="1"/>
  <c r="O13" i="3"/>
  <c r="H59" i="3" s="1"/>
  <c r="M13" i="3"/>
  <c r="H13" i="3" s="1"/>
  <c r="N13" i="3"/>
  <c r="G105" i="3" s="1"/>
  <c r="L13" i="3"/>
  <c r="G59" i="3" s="1"/>
  <c r="U59" i="5" s="1"/>
  <c r="AN4" i="13"/>
  <c r="Z7" i="25"/>
  <c r="W43" i="5"/>
  <c r="W46" i="5"/>
  <c r="R14" i="3"/>
  <c r="I60" i="3" s="1"/>
  <c r="Q14" i="3"/>
  <c r="I14" i="3" s="1"/>
  <c r="P14" i="3"/>
  <c r="H106" i="3" s="1"/>
  <c r="O14" i="3"/>
  <c r="H60" i="3" s="1"/>
  <c r="N14" i="3"/>
  <c r="G106" i="3" s="1"/>
  <c r="L14" i="3"/>
  <c r="G14" i="3" s="1"/>
  <c r="S14" i="3"/>
  <c r="I106" i="3" s="1"/>
  <c r="M14" i="3"/>
  <c r="H14" i="3" s="1"/>
  <c r="L12" i="3"/>
  <c r="G58" i="3" s="1"/>
  <c r="U58" i="5" s="1"/>
  <c r="S12" i="3"/>
  <c r="I104" i="3" s="1"/>
  <c r="R12" i="3"/>
  <c r="I58" i="3" s="1"/>
  <c r="Q12" i="3"/>
  <c r="I12" i="3" s="1"/>
  <c r="P12" i="3"/>
  <c r="H104" i="3" s="1"/>
  <c r="N12" i="3"/>
  <c r="G104" i="3" s="1"/>
  <c r="O12" i="3"/>
  <c r="H58" i="3" s="1"/>
  <c r="M12" i="3"/>
  <c r="H12" i="3" s="1"/>
  <c r="Q15" i="3"/>
  <c r="I15" i="3" s="1"/>
  <c r="P15" i="3"/>
  <c r="H107" i="3" s="1"/>
  <c r="O15" i="3"/>
  <c r="H61" i="3" s="1"/>
  <c r="N15" i="3"/>
  <c r="G107" i="3" s="1"/>
  <c r="M15" i="3"/>
  <c r="H15" i="3" s="1"/>
  <c r="S15" i="3"/>
  <c r="I107" i="3" s="1"/>
  <c r="R15" i="3"/>
  <c r="I61" i="3" s="1"/>
  <c r="L15" i="3"/>
  <c r="G61" i="3" s="1"/>
  <c r="U61" i="5" s="1"/>
  <c r="W44" i="5"/>
  <c r="Z6" i="25"/>
  <c r="M19" i="3"/>
  <c r="H19" i="3" s="1"/>
  <c r="L19" i="3"/>
  <c r="G19" i="3" s="1"/>
  <c r="S19" i="3"/>
  <c r="I111" i="3" s="1"/>
  <c r="R19" i="3"/>
  <c r="I65" i="3" s="1"/>
  <c r="Q19" i="3"/>
  <c r="I19" i="3" s="1"/>
  <c r="O19" i="3"/>
  <c r="H65" i="3" s="1"/>
  <c r="P19" i="3"/>
  <c r="H111" i="3" s="1"/>
  <c r="N19" i="3"/>
  <c r="G111" i="3" s="1"/>
  <c r="Q6" i="3"/>
  <c r="I6" i="3" s="1"/>
  <c r="P6" i="3"/>
  <c r="H98" i="3" s="1"/>
  <c r="L6" i="3"/>
  <c r="G52" i="3" s="1"/>
  <c r="U52" i="5" s="1"/>
  <c r="S6" i="3"/>
  <c r="I98" i="3" s="1"/>
  <c r="R6" i="3"/>
  <c r="I52" i="3" s="1"/>
  <c r="O6" i="3"/>
  <c r="H52" i="3" s="1"/>
  <c r="N6" i="3"/>
  <c r="G98" i="3" s="1"/>
  <c r="M6" i="3"/>
  <c r="H6" i="3" s="1"/>
  <c r="W106" i="5"/>
  <c r="W14" i="5"/>
  <c r="R5" i="3"/>
  <c r="I51" i="3" s="1"/>
  <c r="Q5" i="3"/>
  <c r="I5" i="3" s="1"/>
  <c r="M5" i="3"/>
  <c r="H5" i="3" s="1"/>
  <c r="O5" i="3"/>
  <c r="H51" i="3" s="1"/>
  <c r="N5" i="3"/>
  <c r="G97" i="3" s="1"/>
  <c r="L5" i="3"/>
  <c r="G51" i="3" s="1"/>
  <c r="U51" i="5" s="1"/>
  <c r="S5" i="3"/>
  <c r="I97" i="3" s="1"/>
  <c r="P5" i="3"/>
  <c r="H97" i="3" s="1"/>
  <c r="AN2" i="13"/>
  <c r="Z4" i="25"/>
  <c r="S4" i="3"/>
  <c r="I96" i="3" s="1"/>
  <c r="R4" i="3"/>
  <c r="I50" i="3" s="1"/>
  <c r="N4" i="3"/>
  <c r="G96" i="3" s="1"/>
  <c r="Q4" i="3"/>
  <c r="I4" i="3" s="1"/>
  <c r="P4" i="3"/>
  <c r="H96" i="3" s="1"/>
  <c r="O4" i="3"/>
  <c r="H50" i="3" s="1"/>
  <c r="M4" i="3"/>
  <c r="H4" i="3" s="1"/>
  <c r="L4" i="3"/>
  <c r="G4" i="3" s="1"/>
  <c r="AN3" i="13"/>
  <c r="Z5" i="25"/>
  <c r="L49" i="2" l="1"/>
  <c r="M49" i="2" s="1"/>
  <c r="L51" i="2"/>
  <c r="M51" i="2" s="1"/>
  <c r="L48" i="2"/>
  <c r="M48" i="2" s="1"/>
  <c r="B25" i="10"/>
  <c r="B27" i="10"/>
  <c r="U3" i="5"/>
  <c r="V3" i="5" s="1"/>
  <c r="L17" i="3"/>
  <c r="G63" i="3" s="1"/>
  <c r="U63" i="5" s="1"/>
  <c r="P17" i="3"/>
  <c r="H109" i="3" s="1"/>
  <c r="S17" i="3"/>
  <c r="I109" i="3" s="1"/>
  <c r="M17" i="3"/>
  <c r="H17" i="3" s="1"/>
  <c r="Q17" i="3"/>
  <c r="I17" i="3" s="1"/>
  <c r="N17" i="3"/>
  <c r="G109" i="3" s="1"/>
  <c r="U109" i="5" s="1"/>
  <c r="R17" i="3"/>
  <c r="I63" i="3" s="1"/>
  <c r="L46" i="2"/>
  <c r="M46" i="2" s="1"/>
  <c r="W139" i="5"/>
  <c r="L47" i="2"/>
  <c r="M47" i="2" s="1"/>
  <c r="W134" i="5"/>
  <c r="G134" i="3"/>
  <c r="U134" i="5" s="1"/>
  <c r="U135" i="5"/>
  <c r="U136" i="5"/>
  <c r="W87" i="5"/>
  <c r="W77" i="5"/>
  <c r="W71" i="5"/>
  <c r="W58" i="5"/>
  <c r="W59" i="5"/>
  <c r="W54" i="5"/>
  <c r="W69" i="5"/>
  <c r="W88" i="5"/>
  <c r="W82" i="5"/>
  <c r="W51" i="5"/>
  <c r="W93" i="5"/>
  <c r="W64" i="5"/>
  <c r="W62" i="5"/>
  <c r="W27" i="5"/>
  <c r="W73" i="5"/>
  <c r="W129" i="5"/>
  <c r="W83" i="5"/>
  <c r="W120" i="5"/>
  <c r="W74" i="5"/>
  <c r="W98" i="5"/>
  <c r="W52" i="5"/>
  <c r="W81" i="5"/>
  <c r="W29" i="5"/>
  <c r="W75" i="5"/>
  <c r="W131" i="5"/>
  <c r="W85" i="5"/>
  <c r="W86" i="5"/>
  <c r="W55" i="5"/>
  <c r="W49" i="5"/>
  <c r="W80" i="5"/>
  <c r="W53" i="5"/>
  <c r="W24" i="5"/>
  <c r="W70" i="5"/>
  <c r="W78" i="5"/>
  <c r="W68" i="5"/>
  <c r="W112" i="5"/>
  <c r="W66" i="5"/>
  <c r="W63" i="5"/>
  <c r="W72" i="5"/>
  <c r="W103" i="5"/>
  <c r="W57" i="5"/>
  <c r="W67" i="5"/>
  <c r="W65" i="5"/>
  <c r="W96" i="5"/>
  <c r="W50" i="5"/>
  <c r="W84" i="5"/>
  <c r="L44" i="2"/>
  <c r="M44" i="2" s="1"/>
  <c r="L28" i="2"/>
  <c r="M28" i="2" s="1"/>
  <c r="L23" i="2"/>
  <c r="M23" i="2" s="1"/>
  <c r="L30" i="2"/>
  <c r="M30" i="2" s="1"/>
  <c r="L6" i="2"/>
  <c r="M6" i="2" s="1"/>
  <c r="L20" i="2"/>
  <c r="M20" i="2" s="1"/>
  <c r="L37" i="2"/>
  <c r="M37" i="2" s="1"/>
  <c r="L7" i="2"/>
  <c r="M7" i="2" s="1"/>
  <c r="L38" i="2"/>
  <c r="M38" i="2" s="1"/>
  <c r="L22" i="2"/>
  <c r="M22" i="2" s="1"/>
  <c r="L9" i="2"/>
  <c r="M9" i="2" s="1"/>
  <c r="L42" i="2"/>
  <c r="M42" i="2" s="1"/>
  <c r="L24" i="2"/>
  <c r="M24" i="2" s="1"/>
  <c r="L16" i="2"/>
  <c r="M16" i="2" s="1"/>
  <c r="L11" i="2"/>
  <c r="M11" i="2" s="1"/>
  <c r="L10" i="2"/>
  <c r="M10" i="2" s="1"/>
  <c r="L2" i="2"/>
  <c r="M2" i="2" s="1"/>
  <c r="L8" i="2"/>
  <c r="M8" i="2" s="1"/>
  <c r="L36" i="2"/>
  <c r="M36" i="2" s="1"/>
  <c r="L19" i="2"/>
  <c r="M19" i="2" s="1"/>
  <c r="L5" i="2"/>
  <c r="M5" i="2" s="1"/>
  <c r="L31" i="2"/>
  <c r="M31" i="2" s="1"/>
  <c r="L40" i="2"/>
  <c r="M40" i="2" s="1"/>
  <c r="L27" i="2"/>
  <c r="M27" i="2" s="1"/>
  <c r="L12" i="2"/>
  <c r="M12" i="2" s="1"/>
  <c r="L34" i="2"/>
  <c r="M34" i="2" s="1"/>
  <c r="L32" i="2"/>
  <c r="M32" i="2" s="1"/>
  <c r="L43" i="2"/>
  <c r="M43" i="2" s="1"/>
  <c r="L18" i="2"/>
  <c r="M18" i="2" s="1"/>
  <c r="L33" i="2"/>
  <c r="M33" i="2" s="1"/>
  <c r="L3" i="2"/>
  <c r="M3" i="2" s="1"/>
  <c r="L21" i="2"/>
  <c r="M21" i="2" s="1"/>
  <c r="L15" i="2"/>
  <c r="M15" i="2" s="1"/>
  <c r="L45" i="2"/>
  <c r="M45" i="2" s="1"/>
  <c r="P49" i="22" s="1"/>
  <c r="L13" i="2"/>
  <c r="M13" i="2" s="1"/>
  <c r="L17" i="2"/>
  <c r="M17" i="2" s="1"/>
  <c r="L14" i="2"/>
  <c r="M14" i="2" s="1"/>
  <c r="L26" i="2"/>
  <c r="M26" i="2" s="1"/>
  <c r="L4" i="2"/>
  <c r="M4" i="2" s="1"/>
  <c r="L29" i="2"/>
  <c r="M29" i="2" s="1"/>
  <c r="L25" i="2"/>
  <c r="M25" i="2" s="1"/>
  <c r="L41" i="2"/>
  <c r="M41" i="2" s="1"/>
  <c r="L35" i="2"/>
  <c r="M35" i="2" s="1"/>
  <c r="L39" i="2"/>
  <c r="M39" i="2" s="1"/>
  <c r="G8" i="3"/>
  <c r="U8" i="5" s="1"/>
  <c r="G22" i="3"/>
  <c r="U22" i="5" s="1"/>
  <c r="G82" i="3"/>
  <c r="U82" i="5" s="1"/>
  <c r="G33" i="3"/>
  <c r="U33" i="5" s="1"/>
  <c r="G66" i="3"/>
  <c r="U66" i="5" s="1"/>
  <c r="G44" i="3"/>
  <c r="U44" i="5" s="1"/>
  <c r="G93" i="3"/>
  <c r="U93" i="5" s="1"/>
  <c r="G18" i="3"/>
  <c r="U18" i="5" s="1"/>
  <c r="G78" i="3"/>
  <c r="U78" i="5" s="1"/>
  <c r="G23" i="3"/>
  <c r="U23" i="5" s="1"/>
  <c r="G87" i="3"/>
  <c r="U87" i="5" s="1"/>
  <c r="G62" i="3"/>
  <c r="U62" i="5" s="1"/>
  <c r="O10" i="3"/>
  <c r="H56" i="3" s="1"/>
  <c r="N10" i="3"/>
  <c r="G102" i="3" s="1"/>
  <c r="U102" i="5" s="1"/>
  <c r="M10" i="3"/>
  <c r="H10" i="3" s="1"/>
  <c r="L10" i="3"/>
  <c r="S10" i="3"/>
  <c r="I102" i="3" s="1"/>
  <c r="R10" i="3"/>
  <c r="I56" i="3" s="1"/>
  <c r="Q10" i="3"/>
  <c r="I10" i="3" s="1"/>
  <c r="P10" i="3"/>
  <c r="H102" i="3" s="1"/>
  <c r="AT2" i="13"/>
  <c r="AT3" i="13"/>
  <c r="AJ4" i="25" s="1"/>
  <c r="AE6" i="25"/>
  <c r="G91" i="3"/>
  <c r="U91" i="5" s="1"/>
  <c r="G49" i="3"/>
  <c r="U49" i="5" s="1"/>
  <c r="G92" i="3"/>
  <c r="U92" i="5" s="1"/>
  <c r="W30" i="5"/>
  <c r="W122" i="5"/>
  <c r="W100" i="5"/>
  <c r="W125" i="5"/>
  <c r="W33" i="5"/>
  <c r="M54" i="22"/>
  <c r="W8" i="5"/>
  <c r="G11" i="3"/>
  <c r="U11" i="5" s="1"/>
  <c r="W7" i="5"/>
  <c r="W124" i="5"/>
  <c r="W4" i="5"/>
  <c r="W16" i="5"/>
  <c r="W19" i="5"/>
  <c r="G84" i="3"/>
  <c r="U84" i="5" s="1"/>
  <c r="W130" i="5"/>
  <c r="W121" i="5"/>
  <c r="G75" i="3"/>
  <c r="U75" i="5" s="1"/>
  <c r="W3" i="5"/>
  <c r="W95" i="5"/>
  <c r="G83" i="3"/>
  <c r="U83" i="5" s="1"/>
  <c r="W9" i="5"/>
  <c r="W110" i="5"/>
  <c r="W101" i="5"/>
  <c r="W2" i="5"/>
  <c r="J2" i="3" s="1"/>
  <c r="W48" i="5"/>
  <c r="W35" i="5"/>
  <c r="W18" i="5"/>
  <c r="G24" i="3"/>
  <c r="U24" i="5" s="1"/>
  <c r="G77" i="3"/>
  <c r="U77" i="5" s="1"/>
  <c r="W6" i="5"/>
  <c r="W47" i="5"/>
  <c r="W105" i="5"/>
  <c r="W10" i="5"/>
  <c r="W13" i="5"/>
  <c r="W102" i="5"/>
  <c r="G27" i="3"/>
  <c r="U27" i="5" s="1"/>
  <c r="G30" i="3"/>
  <c r="U30" i="5" s="1"/>
  <c r="G26" i="3"/>
  <c r="U26" i="5" s="1"/>
  <c r="G85" i="3"/>
  <c r="U85" i="5" s="1"/>
  <c r="W104" i="5"/>
  <c r="G43" i="3"/>
  <c r="U43" i="5" s="1"/>
  <c r="W34" i="5"/>
  <c r="W12" i="5"/>
  <c r="W132" i="5"/>
  <c r="W128" i="5"/>
  <c r="W39" i="5"/>
  <c r="W118" i="5"/>
  <c r="W11" i="5"/>
  <c r="W109" i="5"/>
  <c r="G25" i="3"/>
  <c r="U25" i="5" s="1"/>
  <c r="W40" i="5"/>
  <c r="W119" i="5"/>
  <c r="W113" i="5"/>
  <c r="W37" i="5"/>
  <c r="W5" i="5"/>
  <c r="W97" i="5"/>
  <c r="W26" i="5"/>
  <c r="W17" i="5"/>
  <c r="W28" i="5"/>
  <c r="W15" i="5"/>
  <c r="W107" i="5"/>
  <c r="W133" i="5"/>
  <c r="G7" i="3"/>
  <c r="U7" i="5" s="1"/>
  <c r="W42" i="5"/>
  <c r="W23" i="5"/>
  <c r="G81" i="3"/>
  <c r="U81" i="5" s="1"/>
  <c r="W31" i="5"/>
  <c r="W41" i="5"/>
  <c r="W116" i="5"/>
  <c r="W115" i="5"/>
  <c r="W123" i="5"/>
  <c r="W114" i="5"/>
  <c r="W32" i="5"/>
  <c r="W20" i="5"/>
  <c r="W36" i="5"/>
  <c r="G28" i="3"/>
  <c r="U28" i="5" s="1"/>
  <c r="G42" i="3"/>
  <c r="U42" i="5" s="1"/>
  <c r="G21" i="3"/>
  <c r="U21" i="5" s="1"/>
  <c r="W22" i="5"/>
  <c r="G80" i="3"/>
  <c r="U80" i="5" s="1"/>
  <c r="G5" i="3"/>
  <c r="G13" i="3"/>
  <c r="U13" i="5" s="1"/>
  <c r="W25" i="5"/>
  <c r="W117" i="5"/>
  <c r="G86" i="3"/>
  <c r="U86" i="5" s="1"/>
  <c r="G50" i="3"/>
  <c r="U50" i="5" s="1"/>
  <c r="U19" i="5"/>
  <c r="U14" i="5"/>
  <c r="U105" i="5"/>
  <c r="U4" i="5"/>
  <c r="U107" i="5"/>
  <c r="U9" i="5"/>
  <c r="U96" i="5"/>
  <c r="U97" i="5"/>
  <c r="U111" i="5"/>
  <c r="U101" i="5"/>
  <c r="G65" i="3"/>
  <c r="U65" i="5" s="1"/>
  <c r="G15" i="3"/>
  <c r="G12" i="3"/>
  <c r="G60" i="3"/>
  <c r="U60" i="5" s="1"/>
  <c r="G55" i="3"/>
  <c r="U55" i="5" s="1"/>
  <c r="AE5" i="25"/>
  <c r="AE3" i="25"/>
  <c r="U98" i="5"/>
  <c r="U104" i="5"/>
  <c r="U106" i="5"/>
  <c r="V2" i="5"/>
  <c r="G6" i="3"/>
  <c r="AE4" i="25"/>
  <c r="P51" i="22" l="1"/>
  <c r="P48" i="22"/>
  <c r="P50" i="22"/>
  <c r="P47" i="22"/>
  <c r="P46" i="22"/>
  <c r="G17" i="3"/>
  <c r="P35" i="22"/>
  <c r="P8" i="22"/>
  <c r="P3" i="22"/>
  <c r="P39" i="22"/>
  <c r="P19" i="22"/>
  <c r="P42" i="22"/>
  <c r="P5" i="22"/>
  <c r="P30" i="22"/>
  <c r="P18" i="22"/>
  <c r="P32" i="22"/>
  <c r="P38" i="22"/>
  <c r="P17" i="22"/>
  <c r="P43" i="22"/>
  <c r="P33" i="22"/>
  <c r="P6" i="22"/>
  <c r="P34" i="22"/>
  <c r="P2" i="22"/>
  <c r="P22" i="22"/>
  <c r="P13" i="22"/>
  <c r="P37" i="22"/>
  <c r="P26" i="22"/>
  <c r="P29" i="22"/>
  <c r="P16" i="22"/>
  <c r="P41" i="22"/>
  <c r="P31" i="22"/>
  <c r="P10" i="22"/>
  <c r="P28" i="22"/>
  <c r="P9" i="22"/>
  <c r="P40" i="22"/>
  <c r="P36" i="22"/>
  <c r="P12" i="22"/>
  <c r="P25" i="22"/>
  <c r="P14" i="22"/>
  <c r="P24" i="22"/>
  <c r="P20" i="22"/>
  <c r="P27" i="22"/>
  <c r="P23" i="22"/>
  <c r="P21" i="22"/>
  <c r="P15" i="22"/>
  <c r="P7" i="22"/>
  <c r="P44" i="22"/>
  <c r="P45" i="22"/>
  <c r="P11" i="22"/>
  <c r="P4" i="22"/>
  <c r="G10" i="3"/>
  <c r="G56" i="3"/>
  <c r="U56" i="5" s="1"/>
  <c r="J4" i="3"/>
  <c r="J3" i="3"/>
  <c r="U5" i="5"/>
  <c r="V5" i="5" s="1"/>
  <c r="V9" i="5"/>
  <c r="U6" i="5"/>
  <c r="V8" i="5"/>
  <c r="U12" i="5"/>
  <c r="AJ3" i="25"/>
  <c r="U15" i="5"/>
  <c r="V7" i="5"/>
  <c r="V4" i="5"/>
  <c r="F149" i="5" l="1"/>
  <c r="F145" i="5"/>
  <c r="F141" i="5"/>
  <c r="F151" i="1"/>
  <c r="F147" i="1"/>
  <c r="F143" i="1"/>
  <c r="F140" i="1"/>
  <c r="F144" i="1"/>
  <c r="F150" i="1"/>
  <c r="F151" i="5"/>
  <c r="F148" i="5"/>
  <c r="F147" i="5"/>
  <c r="F146" i="5"/>
  <c r="F144" i="5"/>
  <c r="F143" i="5"/>
  <c r="F142" i="5"/>
  <c r="F140" i="5"/>
  <c r="F149" i="1"/>
  <c r="F146" i="1"/>
  <c r="F145" i="1"/>
  <c r="F141" i="1"/>
  <c r="F148" i="1"/>
  <c r="F150" i="5"/>
  <c r="F142" i="1"/>
  <c r="U17" i="5"/>
  <c r="V17" i="5" s="1"/>
  <c r="O143" i="5"/>
  <c r="G143" i="5" s="1"/>
  <c r="N140" i="5"/>
  <c r="AB150" i="5"/>
  <c r="V142" i="5"/>
  <c r="O142" i="5"/>
  <c r="G142" i="5" s="1"/>
  <c r="AB141" i="5"/>
  <c r="O141" i="5"/>
  <c r="G141" i="5" s="1"/>
  <c r="V140" i="5"/>
  <c r="AB140" i="5"/>
  <c r="AB151" i="5"/>
  <c r="AE134" i="5"/>
  <c r="V150" i="5"/>
  <c r="AB144" i="5"/>
  <c r="N150" i="5"/>
  <c r="AB147" i="5"/>
  <c r="O146" i="5"/>
  <c r="G146" i="5" s="1"/>
  <c r="O144" i="5"/>
  <c r="G144" i="5" s="1"/>
  <c r="AB148" i="5"/>
  <c r="O140" i="5"/>
  <c r="G140" i="5" s="1"/>
  <c r="AB142" i="5"/>
  <c r="N149" i="5"/>
  <c r="V147" i="5"/>
  <c r="N144" i="5"/>
  <c r="N141" i="5"/>
  <c r="O150" i="5"/>
  <c r="G150" i="5" s="1"/>
  <c r="V148" i="5"/>
  <c r="V146" i="5"/>
  <c r="AB143" i="5"/>
  <c r="V149" i="5"/>
  <c r="O147" i="5"/>
  <c r="AB146" i="5"/>
  <c r="AB145" i="5"/>
  <c r="V143" i="5"/>
  <c r="O149" i="5"/>
  <c r="G149" i="5" s="1"/>
  <c r="O151" i="5"/>
  <c r="G151" i="5" s="1"/>
  <c r="N142" i="5"/>
  <c r="N146" i="5"/>
  <c r="N151" i="5"/>
  <c r="N148" i="5"/>
  <c r="V144" i="5"/>
  <c r="AB149" i="5"/>
  <c r="V141" i="5"/>
  <c r="O148" i="5"/>
  <c r="G148" i="5" s="1"/>
  <c r="N145" i="5"/>
  <c r="V151" i="5"/>
  <c r="O145" i="5"/>
  <c r="G145" i="5" s="1"/>
  <c r="N143" i="5"/>
  <c r="N147" i="5"/>
  <c r="V145" i="5"/>
  <c r="AE138" i="5"/>
  <c r="AE137" i="5"/>
  <c r="N90" i="5"/>
  <c r="O89" i="5"/>
  <c r="G89" i="5" s="1"/>
  <c r="N50" i="5"/>
  <c r="N89" i="5"/>
  <c r="N131" i="5"/>
  <c r="N8" i="5"/>
  <c r="O113" i="5"/>
  <c r="G113" i="5" s="1"/>
  <c r="N113" i="5"/>
  <c r="AE135" i="5"/>
  <c r="AE139" i="5"/>
  <c r="AE136" i="5"/>
  <c r="P54" i="22"/>
  <c r="V139" i="5"/>
  <c r="F137" i="1"/>
  <c r="V135" i="5"/>
  <c r="F137" i="5"/>
  <c r="N137" i="5"/>
  <c r="O137" i="5"/>
  <c r="G137" i="5" s="1"/>
  <c r="F139" i="1"/>
  <c r="F139" i="5"/>
  <c r="O139" i="5"/>
  <c r="G139" i="5" s="1"/>
  <c r="N138" i="5"/>
  <c r="N139" i="5"/>
  <c r="F138" i="1"/>
  <c r="F138" i="5"/>
  <c r="O138" i="5"/>
  <c r="G138" i="5" s="1"/>
  <c r="N136" i="5"/>
  <c r="O136" i="5"/>
  <c r="G136" i="5" s="1"/>
  <c r="AB136" i="5"/>
  <c r="F136" i="5"/>
  <c r="F136" i="1"/>
  <c r="V137" i="5"/>
  <c r="V138" i="5"/>
  <c r="F135" i="5"/>
  <c r="O134" i="5"/>
  <c r="G134" i="5" s="1"/>
  <c r="AB134" i="5"/>
  <c r="N134" i="5"/>
  <c r="F134" i="5"/>
  <c r="F134" i="1"/>
  <c r="V134" i="5"/>
  <c r="V136" i="5"/>
  <c r="F135" i="1"/>
  <c r="AB135" i="5"/>
  <c r="O135" i="5"/>
  <c r="G135" i="5" s="1"/>
  <c r="N135" i="5"/>
  <c r="AE48" i="5"/>
  <c r="AE13" i="5"/>
  <c r="AE91" i="5"/>
  <c r="AE80" i="5"/>
  <c r="V51" i="5"/>
  <c r="AB23" i="5"/>
  <c r="AB100" i="5"/>
  <c r="AB25" i="5"/>
  <c r="AB39" i="5"/>
  <c r="AB5" i="5"/>
  <c r="AB59" i="5"/>
  <c r="AB221" i="5"/>
  <c r="AB50" i="5"/>
  <c r="AB93" i="5"/>
  <c r="AB130" i="5"/>
  <c r="AB35" i="5"/>
  <c r="AB110" i="5"/>
  <c r="AB84" i="5"/>
  <c r="AB104" i="5"/>
  <c r="AB238" i="5"/>
  <c r="AB126" i="5"/>
  <c r="AB74" i="5"/>
  <c r="AB55" i="5"/>
  <c r="AB231" i="5"/>
  <c r="AB49" i="5"/>
  <c r="AB211" i="5"/>
  <c r="AB21" i="5"/>
  <c r="AB43" i="5"/>
  <c r="AB106" i="5"/>
  <c r="AB58" i="5"/>
  <c r="AB128" i="5"/>
  <c r="AB121" i="5"/>
  <c r="AB78" i="5"/>
  <c r="AB29" i="5"/>
  <c r="AB97" i="5"/>
  <c r="AB244" i="5"/>
  <c r="AB45" i="5"/>
  <c r="AB187" i="5"/>
  <c r="AB76" i="5"/>
  <c r="AB47" i="5"/>
  <c r="AB37" i="5"/>
  <c r="AB27" i="5"/>
  <c r="AB120" i="5"/>
  <c r="AB94" i="5"/>
  <c r="AB75" i="5"/>
  <c r="AB9" i="5"/>
  <c r="AB48" i="5"/>
  <c r="AB92" i="5"/>
  <c r="AB26" i="5"/>
  <c r="AB88" i="5"/>
  <c r="AB119" i="5"/>
  <c r="AB131" i="5"/>
  <c r="AB38" i="5"/>
  <c r="AB44" i="5"/>
  <c r="AB7" i="5"/>
  <c r="AB201" i="5"/>
  <c r="AB90" i="5"/>
  <c r="AB15" i="5"/>
  <c r="AB137" i="5"/>
  <c r="AB214" i="5"/>
  <c r="AB235" i="5"/>
  <c r="AB163" i="5"/>
  <c r="AB249" i="5"/>
  <c r="AB205" i="5"/>
  <c r="AB284" i="5"/>
  <c r="AB160" i="5"/>
  <c r="AB212" i="5"/>
  <c r="AB161" i="5"/>
  <c r="AB61" i="5"/>
  <c r="AB264" i="5"/>
  <c r="AB133" i="5"/>
  <c r="AB189" i="5"/>
  <c r="AB80" i="5"/>
  <c r="AB279" i="5"/>
  <c r="AB116" i="5"/>
  <c r="AB196" i="5"/>
  <c r="AB234" i="5"/>
  <c r="AB207" i="5"/>
  <c r="AB236" i="5"/>
  <c r="AB113" i="5"/>
  <c r="AB277" i="5"/>
  <c r="AB51" i="5"/>
  <c r="AB82" i="5"/>
  <c r="AB24" i="5"/>
  <c r="AB107" i="5"/>
  <c r="AB230" i="5"/>
  <c r="AB172" i="5"/>
  <c r="AB226" i="5"/>
  <c r="AB263" i="5"/>
  <c r="AB188" i="5"/>
  <c r="AB243" i="5"/>
  <c r="AB105" i="5"/>
  <c r="AB191" i="5"/>
  <c r="AB32" i="5"/>
  <c r="AB225" i="5"/>
  <c r="AB241" i="5"/>
  <c r="AB70" i="5"/>
  <c r="AB261" i="5"/>
  <c r="AB96" i="5"/>
  <c r="AB91" i="5"/>
  <c r="AB81" i="5"/>
  <c r="AB164" i="5"/>
  <c r="AB254" i="5"/>
  <c r="AB260" i="5"/>
  <c r="AB125" i="5"/>
  <c r="AB203" i="5"/>
  <c r="AB193" i="5"/>
  <c r="AB117" i="5"/>
  <c r="AB181" i="5"/>
  <c r="AB169" i="5"/>
  <c r="AB71" i="5"/>
  <c r="AB223" i="5"/>
  <c r="AB246" i="5"/>
  <c r="AB252" i="5"/>
  <c r="AB65" i="5"/>
  <c r="AB109" i="5"/>
  <c r="AB195" i="5"/>
  <c r="AB265" i="5"/>
  <c r="AB77" i="5"/>
  <c r="AB108" i="5"/>
  <c r="AB281" i="5"/>
  <c r="AB36" i="5"/>
  <c r="AB115" i="5"/>
  <c r="AB247" i="5"/>
  <c r="AB123" i="5"/>
  <c r="AB42" i="5"/>
  <c r="AB194" i="5"/>
  <c r="AB208" i="5"/>
  <c r="AB204" i="5"/>
  <c r="AB52" i="5"/>
  <c r="AB227" i="5"/>
  <c r="AB89" i="5"/>
  <c r="AB239" i="5"/>
  <c r="AB155" i="5"/>
  <c r="AB256" i="5"/>
  <c r="AB118" i="5"/>
  <c r="AB99" i="5"/>
  <c r="AB98" i="5"/>
  <c r="AB184" i="5"/>
  <c r="AB173" i="5"/>
  <c r="AB153" i="5"/>
  <c r="AB127" i="5"/>
  <c r="AB158" i="5"/>
  <c r="AB237" i="5"/>
  <c r="AB222" i="5"/>
  <c r="AB216" i="5"/>
  <c r="AB215" i="5"/>
  <c r="AB171" i="5"/>
  <c r="AB233" i="5"/>
  <c r="AB17" i="5"/>
  <c r="AB11" i="5"/>
  <c r="AB86" i="5"/>
  <c r="AB213" i="5"/>
  <c r="AB66" i="5"/>
  <c r="AB14" i="5"/>
  <c r="AB220" i="5"/>
  <c r="AB274" i="5"/>
  <c r="AB111" i="5"/>
  <c r="AB206" i="5"/>
  <c r="AB72" i="5"/>
  <c r="AB179" i="5"/>
  <c r="AB41" i="5"/>
  <c r="AB269" i="5"/>
  <c r="AB112" i="5"/>
  <c r="AB6" i="5"/>
  <c r="AB197" i="5"/>
  <c r="AB250" i="5"/>
  <c r="AB180" i="5"/>
  <c r="AB28" i="5"/>
  <c r="AB178" i="5"/>
  <c r="AB176" i="5"/>
  <c r="AB12" i="5"/>
  <c r="AB200" i="5"/>
  <c r="AB242" i="5"/>
  <c r="AB282" i="5"/>
  <c r="AB95" i="5"/>
  <c r="AB114" i="5"/>
  <c r="AB266" i="5"/>
  <c r="AB152" i="5"/>
  <c r="AB268" i="5"/>
  <c r="AB3" i="5"/>
  <c r="AB170" i="5"/>
  <c r="AB285" i="5"/>
  <c r="AB16" i="5"/>
  <c r="AB218" i="5"/>
  <c r="AB122" i="5"/>
  <c r="AB31" i="5"/>
  <c r="AB190" i="5"/>
  <c r="AB275" i="5"/>
  <c r="AB209" i="5"/>
  <c r="AB4" i="5"/>
  <c r="AB251" i="5"/>
  <c r="AB139" i="5"/>
  <c r="AB64" i="5"/>
  <c r="AB165" i="5"/>
  <c r="AB18" i="5"/>
  <c r="AB232" i="5"/>
  <c r="AB278" i="5"/>
  <c r="AB166" i="5"/>
  <c r="AB56" i="5"/>
  <c r="AB162" i="5"/>
  <c r="AB199" i="5"/>
  <c r="AB85" i="5"/>
  <c r="AB20" i="5"/>
  <c r="AB177" i="5"/>
  <c r="AB60" i="5"/>
  <c r="AB10" i="5"/>
  <c r="AB224" i="5"/>
  <c r="AB83" i="5"/>
  <c r="AB276" i="5"/>
  <c r="AB202" i="5"/>
  <c r="AB103" i="5"/>
  <c r="AB262" i="5"/>
  <c r="AB283" i="5"/>
  <c r="AB217" i="5"/>
  <c r="AB183" i="5"/>
  <c r="AB46" i="5"/>
  <c r="AB62" i="5"/>
  <c r="AB253" i="5"/>
  <c r="AB185" i="5"/>
  <c r="AB79" i="5"/>
  <c r="AB13" i="5"/>
  <c r="AB132" i="5"/>
  <c r="AB271" i="5"/>
  <c r="AB159" i="5"/>
  <c r="AB182" i="5"/>
  <c r="AB267" i="5"/>
  <c r="AB273" i="5"/>
  <c r="AB192" i="5"/>
  <c r="AB54" i="5"/>
  <c r="AB245" i="5"/>
  <c r="AB34" i="5"/>
  <c r="AB40" i="5"/>
  <c r="AB124" i="5"/>
  <c r="AB8" i="5"/>
  <c r="AB63" i="5"/>
  <c r="AB69" i="5"/>
  <c r="AB228" i="5"/>
  <c r="AB154" i="5"/>
  <c r="AB255" i="5"/>
  <c r="AB156" i="5"/>
  <c r="AB257" i="5"/>
  <c r="AB22" i="5"/>
  <c r="AB280" i="5"/>
  <c r="AB53" i="5"/>
  <c r="AB67" i="5"/>
  <c r="AB73" i="5"/>
  <c r="AB175" i="5"/>
  <c r="AB258" i="5"/>
  <c r="AB272" i="5"/>
  <c r="AB186" i="5"/>
  <c r="AB87" i="5"/>
  <c r="AB19" i="5"/>
  <c r="AB129" i="5"/>
  <c r="AB102" i="5"/>
  <c r="AB174" i="5"/>
  <c r="AB259" i="5"/>
  <c r="AB57" i="5"/>
  <c r="AB30" i="5"/>
  <c r="AB157" i="5"/>
  <c r="AB33" i="5"/>
  <c r="AB101" i="5"/>
  <c r="AB240" i="5"/>
  <c r="AB2" i="5"/>
  <c r="AB168" i="5"/>
  <c r="AB210" i="5"/>
  <c r="AB270" i="5"/>
  <c r="AB138" i="5"/>
  <c r="AB198" i="5"/>
  <c r="AB219" i="5"/>
  <c r="AB167" i="5"/>
  <c r="AB68" i="5"/>
  <c r="AB248" i="5"/>
  <c r="AB229" i="5"/>
  <c r="V56" i="5"/>
  <c r="F63" i="5"/>
  <c r="D63" i="1" s="1"/>
  <c r="F48" i="5"/>
  <c r="C48" i="24" s="1"/>
  <c r="V66" i="5"/>
  <c r="V74" i="5"/>
  <c r="V93" i="5"/>
  <c r="V84" i="5"/>
  <c r="V59" i="5"/>
  <c r="V87" i="5"/>
  <c r="V81" i="5"/>
  <c r="V60" i="5"/>
  <c r="V76" i="5"/>
  <c r="V80" i="5"/>
  <c r="F62" i="5"/>
  <c r="C62" i="24" s="1"/>
  <c r="V64" i="5"/>
  <c r="V55" i="5"/>
  <c r="V72" i="5"/>
  <c r="V92" i="5"/>
  <c r="V65" i="5"/>
  <c r="V61" i="5"/>
  <c r="V77" i="5"/>
  <c r="V71" i="5"/>
  <c r="V63" i="5"/>
  <c r="V57" i="5"/>
  <c r="V85" i="5"/>
  <c r="V50" i="5"/>
  <c r="V82" i="5"/>
  <c r="V83" i="5"/>
  <c r="V52" i="5"/>
  <c r="V78" i="5"/>
  <c r="V68" i="5"/>
  <c r="F55" i="5"/>
  <c r="C55" i="24" s="1"/>
  <c r="V53" i="5"/>
  <c r="V67" i="5"/>
  <c r="V90" i="5"/>
  <c r="V58" i="5"/>
  <c r="V49" i="5"/>
  <c r="V88" i="5"/>
  <c r="V70" i="5"/>
  <c r="V69" i="5"/>
  <c r="V73" i="5"/>
  <c r="V54" i="5"/>
  <c r="V91" i="5"/>
  <c r="V89" i="5"/>
  <c r="V79" i="5"/>
  <c r="V62" i="5"/>
  <c r="V86" i="5"/>
  <c r="V75" i="5"/>
  <c r="F20" i="5"/>
  <c r="C20" i="24" s="1"/>
  <c r="F81" i="5"/>
  <c r="D81" i="1" s="1"/>
  <c r="F29" i="5"/>
  <c r="D29" i="1" s="1"/>
  <c r="F73" i="5"/>
  <c r="C73" i="24" s="1"/>
  <c r="F78" i="5"/>
  <c r="C78" i="24" s="1"/>
  <c r="F23" i="5"/>
  <c r="C23" i="24" s="1"/>
  <c r="F31" i="5"/>
  <c r="D31" i="1" s="1"/>
  <c r="F82" i="5"/>
  <c r="D82" i="1" s="1"/>
  <c r="F60" i="5"/>
  <c r="D60" i="1" s="1"/>
  <c r="F80" i="5"/>
  <c r="C80" i="24" s="1"/>
  <c r="F49" i="5"/>
  <c r="D49" i="1" s="1"/>
  <c r="F61" i="5"/>
  <c r="D61" i="1" s="1"/>
  <c r="F79" i="5"/>
  <c r="C79" i="24" s="1"/>
  <c r="F30" i="5"/>
  <c r="D30" i="1" s="1"/>
  <c r="F47" i="5"/>
  <c r="C47" i="24" s="1"/>
  <c r="F53" i="5"/>
  <c r="C53" i="24" s="1"/>
  <c r="F59" i="5"/>
  <c r="D59" i="1" s="1"/>
  <c r="F64" i="5"/>
  <c r="D64" i="1" s="1"/>
  <c r="F54" i="5"/>
  <c r="C54" i="24" s="1"/>
  <c r="F77" i="5"/>
  <c r="D77" i="1" s="1"/>
  <c r="F6" i="5"/>
  <c r="C6" i="24" s="1"/>
  <c r="F5" i="5"/>
  <c r="D5" i="1" s="1"/>
  <c r="F114" i="5"/>
  <c r="C114" i="24" s="1"/>
  <c r="F97" i="5"/>
  <c r="C97" i="24" s="1"/>
  <c r="F93" i="5"/>
  <c r="D93" i="1" s="1"/>
  <c r="F35" i="5"/>
  <c r="C35" i="24" s="1"/>
  <c r="F75" i="5"/>
  <c r="D75" i="1" s="1"/>
  <c r="F126" i="5"/>
  <c r="D126" i="1" s="1"/>
  <c r="F127" i="5"/>
  <c r="D127" i="1" s="1"/>
  <c r="F86" i="5"/>
  <c r="D86" i="1" s="1"/>
  <c r="F65" i="5"/>
  <c r="D65" i="1" s="1"/>
  <c r="F117" i="5"/>
  <c r="D117" i="1" s="1"/>
  <c r="F94" i="5"/>
  <c r="D94" i="1" s="1"/>
  <c r="F129" i="5"/>
  <c r="C129" i="24" s="1"/>
  <c r="F96" i="5"/>
  <c r="D96" i="1" s="1"/>
  <c r="F33" i="5"/>
  <c r="C33" i="24" s="1"/>
  <c r="F102" i="5"/>
  <c r="D102" i="1" s="1"/>
  <c r="F103" i="5"/>
  <c r="D103" i="1" s="1"/>
  <c r="F24" i="5"/>
  <c r="D24" i="1" s="1"/>
  <c r="F67" i="5"/>
  <c r="C67" i="24" s="1"/>
  <c r="F87" i="5"/>
  <c r="D87" i="1" s="1"/>
  <c r="F91" i="5"/>
  <c r="C91" i="24" s="1"/>
  <c r="F32" i="5"/>
  <c r="C32" i="24" s="1"/>
  <c r="F22" i="5"/>
  <c r="C22" i="24" s="1"/>
  <c r="F118" i="5"/>
  <c r="D118" i="1" s="1"/>
  <c r="F113" i="5"/>
  <c r="C113" i="24" s="1"/>
  <c r="F21" i="5"/>
  <c r="D21" i="1" s="1"/>
  <c r="F105" i="5"/>
  <c r="D105" i="1" s="1"/>
  <c r="F58" i="5"/>
  <c r="C58" i="24" s="1"/>
  <c r="F112" i="5"/>
  <c r="C112" i="24" s="1"/>
  <c r="F88" i="5"/>
  <c r="C88" i="24" s="1"/>
  <c r="F125" i="5"/>
  <c r="D125" i="1" s="1"/>
  <c r="F108" i="5"/>
  <c r="C108" i="24" s="1"/>
  <c r="F74" i="5"/>
  <c r="D74" i="1" s="1"/>
  <c r="F122" i="5"/>
  <c r="D122" i="1" s="1"/>
  <c r="F7" i="5"/>
  <c r="C7" i="24" s="1"/>
  <c r="F104" i="5"/>
  <c r="D104" i="1" s="1"/>
  <c r="F124" i="5"/>
  <c r="C124" i="24" s="1"/>
  <c r="F106" i="5"/>
  <c r="C106" i="24" s="1"/>
  <c r="F16" i="5"/>
  <c r="D16" i="1" s="1"/>
  <c r="F111" i="5"/>
  <c r="D111" i="1" s="1"/>
  <c r="F46" i="5"/>
  <c r="D46" i="1" s="1"/>
  <c r="F25" i="5"/>
  <c r="C25" i="24" s="1"/>
  <c r="F130" i="5"/>
  <c r="D130" i="1" s="1"/>
  <c r="F71" i="5"/>
  <c r="D71" i="1" s="1"/>
  <c r="F123" i="5"/>
  <c r="D123" i="1" s="1"/>
  <c r="F90" i="5"/>
  <c r="C90" i="24" s="1"/>
  <c r="F115" i="5"/>
  <c r="C115" i="24" s="1"/>
  <c r="F76" i="5"/>
  <c r="D76" i="1" s="1"/>
  <c r="F110" i="5"/>
  <c r="D110" i="1" s="1"/>
  <c r="F101" i="5"/>
  <c r="C101" i="24" s="1"/>
  <c r="F95" i="5"/>
  <c r="D95" i="1" s="1"/>
  <c r="F116" i="5"/>
  <c r="D116" i="1" s="1"/>
  <c r="F28" i="5"/>
  <c r="C28" i="24" s="1"/>
  <c r="F38" i="5"/>
  <c r="D38" i="1" s="1"/>
  <c r="F107" i="5"/>
  <c r="D107" i="1" s="1"/>
  <c r="F89" i="5"/>
  <c r="C89" i="24" s="1"/>
  <c r="F45" i="5"/>
  <c r="D45" i="1" s="1"/>
  <c r="F66" i="5"/>
  <c r="D66" i="1" s="1"/>
  <c r="F44" i="5"/>
  <c r="D44" i="1" s="1"/>
  <c r="F70" i="5"/>
  <c r="D70" i="1" s="1"/>
  <c r="F42" i="5"/>
  <c r="D42" i="1" s="1"/>
  <c r="F84" i="5"/>
  <c r="D84" i="1" s="1"/>
  <c r="F133" i="5"/>
  <c r="C133" i="24" s="1"/>
  <c r="F9" i="5"/>
  <c r="C9" i="24" s="1"/>
  <c r="F50" i="5"/>
  <c r="D50" i="1" s="1"/>
  <c r="F27" i="5"/>
  <c r="D27" i="1" s="1"/>
  <c r="F92" i="5"/>
  <c r="D92" i="1" s="1"/>
  <c r="F40" i="5"/>
  <c r="C40" i="24" s="1"/>
  <c r="F8" i="5"/>
  <c r="D8" i="1" s="1"/>
  <c r="F119" i="5"/>
  <c r="D119" i="1" s="1"/>
  <c r="F14" i="5"/>
  <c r="D14" i="1" s="1"/>
  <c r="F19" i="5"/>
  <c r="D19" i="1" s="1"/>
  <c r="F12" i="5"/>
  <c r="C12" i="24" s="1"/>
  <c r="F98" i="5"/>
  <c r="D98" i="1" s="1"/>
  <c r="F83" i="5"/>
  <c r="C83" i="24" s="1"/>
  <c r="F100" i="5"/>
  <c r="D100" i="1" s="1"/>
  <c r="F56" i="5"/>
  <c r="C56" i="24" s="1"/>
  <c r="F2" i="5"/>
  <c r="C2" i="24" s="1"/>
  <c r="F37" i="5"/>
  <c r="D37" i="1" s="1"/>
  <c r="F72" i="5"/>
  <c r="D72" i="1" s="1"/>
  <c r="F41" i="5"/>
  <c r="D41" i="1" s="1"/>
  <c r="F99" i="5"/>
  <c r="D99" i="1" s="1"/>
  <c r="F57" i="5"/>
  <c r="D57" i="1" s="1"/>
  <c r="F34" i="5"/>
  <c r="C34" i="24" s="1"/>
  <c r="F15" i="5"/>
  <c r="C15" i="24" s="1"/>
  <c r="F51" i="5"/>
  <c r="D51" i="1" s="1"/>
  <c r="F68" i="5"/>
  <c r="D68" i="1" s="1"/>
  <c r="F85" i="5"/>
  <c r="D85" i="1" s="1"/>
  <c r="F3" i="5"/>
  <c r="D3" i="1" s="1"/>
  <c r="F131" i="5"/>
  <c r="D131" i="1" s="1"/>
  <c r="F132" i="5"/>
  <c r="D132" i="1" s="1"/>
  <c r="F43" i="5"/>
  <c r="C43" i="24" s="1"/>
  <c r="F4" i="5"/>
  <c r="D4" i="1" s="1"/>
  <c r="F10" i="5"/>
  <c r="D10" i="1" s="1"/>
  <c r="F69" i="5"/>
  <c r="D69" i="1" s="1"/>
  <c r="F13" i="5"/>
  <c r="D13" i="1" s="1"/>
  <c r="F39" i="5"/>
  <c r="D39" i="1" s="1"/>
  <c r="F18" i="5"/>
  <c r="D18" i="1" s="1"/>
  <c r="F120" i="5"/>
  <c r="C120" i="24" s="1"/>
  <c r="F36" i="5"/>
  <c r="D36" i="1" s="1"/>
  <c r="F128" i="5"/>
  <c r="C128" i="24" s="1"/>
  <c r="F109" i="5"/>
  <c r="D109" i="1" s="1"/>
  <c r="F52" i="5"/>
  <c r="C52" i="24" s="1"/>
  <c r="F17" i="5"/>
  <c r="D17" i="1" s="1"/>
  <c r="F26" i="5"/>
  <c r="D26" i="1" s="1"/>
  <c r="F11" i="5"/>
  <c r="D11" i="1" s="1"/>
  <c r="F121" i="5"/>
  <c r="C121" i="24" s="1"/>
  <c r="AE111" i="5"/>
  <c r="AE41" i="5"/>
  <c r="AE28" i="5"/>
  <c r="AE87" i="5"/>
  <c r="AE65" i="5"/>
  <c r="AE25" i="5"/>
  <c r="AE88" i="5"/>
  <c r="AE74" i="5"/>
  <c r="AE125" i="5"/>
  <c r="AE45" i="5"/>
  <c r="AE60" i="5"/>
  <c r="AE71" i="5"/>
  <c r="AE72" i="5"/>
  <c r="AE69" i="5"/>
  <c r="AE106" i="5"/>
  <c r="AE42" i="5"/>
  <c r="V46" i="5"/>
  <c r="V31" i="5"/>
  <c r="AE90" i="5"/>
  <c r="AE8" i="5"/>
  <c r="AE94" i="5"/>
  <c r="AE17" i="5"/>
  <c r="E13" i="6"/>
  <c r="J10" i="6" s="1"/>
  <c r="D13" i="6"/>
  <c r="E25" i="6"/>
  <c r="D32" i="6"/>
  <c r="D26" i="6"/>
  <c r="D27" i="6"/>
  <c r="E39" i="6"/>
  <c r="D20" i="6"/>
  <c r="E18" i="6"/>
  <c r="D11" i="6"/>
  <c r="E34" i="6"/>
  <c r="J31" i="6" s="1"/>
  <c r="E27" i="6"/>
  <c r="J24" i="6" s="1"/>
  <c r="E26" i="6"/>
  <c r="D33" i="6"/>
  <c r="D39" i="6"/>
  <c r="D25" i="6"/>
  <c r="D19" i="6"/>
  <c r="E11" i="6"/>
  <c r="E33" i="6"/>
  <c r="D34" i="6"/>
  <c r="D40" i="6"/>
  <c r="E12" i="6"/>
  <c r="I10" i="6" s="1"/>
  <c r="E20" i="6"/>
  <c r="M17" i="6" s="1"/>
  <c r="D41" i="6"/>
  <c r="D18" i="6"/>
  <c r="E40" i="6"/>
  <c r="D12" i="6"/>
  <c r="E19" i="6"/>
  <c r="E41" i="6"/>
  <c r="E32" i="6"/>
  <c r="K31" i="6" s="1"/>
  <c r="AE93" i="5"/>
  <c r="AE104" i="5"/>
  <c r="AE103" i="5"/>
  <c r="AE124" i="5"/>
  <c r="AE26" i="5"/>
  <c r="AE67" i="5"/>
  <c r="AE61" i="5"/>
  <c r="AE105" i="5"/>
  <c r="AE95" i="5"/>
  <c r="AE129" i="5"/>
  <c r="AE22" i="5"/>
  <c r="AE23" i="5"/>
  <c r="AE102" i="5"/>
  <c r="AE126" i="5"/>
  <c r="AE62" i="5"/>
  <c r="AE63" i="5"/>
  <c r="AE128" i="5"/>
  <c r="AE6" i="5"/>
  <c r="AE76" i="5"/>
  <c r="AE37" i="5"/>
  <c r="AE81" i="5"/>
  <c r="AE83" i="5"/>
  <c r="AE85" i="5"/>
  <c r="AE84" i="5"/>
  <c r="U10" i="5"/>
  <c r="V48" i="5"/>
  <c r="V37" i="5"/>
  <c r="V21" i="5"/>
  <c r="V15" i="5"/>
  <c r="V32" i="5"/>
  <c r="V19" i="5"/>
  <c r="V23" i="5"/>
  <c r="V40" i="5"/>
  <c r="V18" i="5"/>
  <c r="V13" i="5"/>
  <c r="V24" i="5"/>
  <c r="V29" i="5"/>
  <c r="V16" i="5"/>
  <c r="V33" i="5"/>
  <c r="V20" i="5"/>
  <c r="V42" i="5"/>
  <c r="V30" i="5"/>
  <c r="V45" i="5"/>
  <c r="V36" i="5"/>
  <c r="AE9" i="5"/>
  <c r="AE53" i="5"/>
  <c r="AE82" i="5"/>
  <c r="AE59" i="5"/>
  <c r="AE47" i="5"/>
  <c r="AE97" i="5"/>
  <c r="AE38" i="5"/>
  <c r="AE96" i="5"/>
  <c r="AE24" i="5"/>
  <c r="AE36" i="5"/>
  <c r="AE54" i="5"/>
  <c r="AE117" i="5"/>
  <c r="AE68" i="5"/>
  <c r="AE86" i="5"/>
  <c r="AE70" i="5"/>
  <c r="V39" i="5"/>
  <c r="V43" i="5"/>
  <c r="V38" i="5"/>
  <c r="V28" i="5"/>
  <c r="AE50" i="5"/>
  <c r="AE19" i="5"/>
  <c r="AE43" i="5"/>
  <c r="AE20" i="5"/>
  <c r="AE57" i="5"/>
  <c r="V12" i="5"/>
  <c r="V22" i="5"/>
  <c r="AE110" i="5"/>
  <c r="AE14" i="5"/>
  <c r="AE121" i="5"/>
  <c r="AE92" i="5"/>
  <c r="AE132" i="5"/>
  <c r="AE66" i="5"/>
  <c r="AE10" i="5"/>
  <c r="AE5" i="5"/>
  <c r="AE18" i="5"/>
  <c r="AE11" i="5"/>
  <c r="AE51" i="5"/>
  <c r="AE100" i="5"/>
  <c r="AE2" i="5"/>
  <c r="AE133" i="5"/>
  <c r="AE27" i="5"/>
  <c r="AE15" i="5"/>
  <c r="AE16" i="5"/>
  <c r="AE130" i="5"/>
  <c r="AE29" i="5"/>
  <c r="AE116" i="5"/>
  <c r="AE89" i="5"/>
  <c r="AE56" i="5"/>
  <c r="V34" i="5"/>
  <c r="V27" i="5"/>
  <c r="V44" i="5"/>
  <c r="V14" i="5"/>
  <c r="V26" i="5"/>
  <c r="V25" i="5"/>
  <c r="V47" i="5"/>
  <c r="V41" i="5"/>
  <c r="V35" i="5"/>
  <c r="N99" i="5"/>
  <c r="N37" i="5"/>
  <c r="O109" i="5"/>
  <c r="G109" i="5" s="1"/>
  <c r="O99" i="5"/>
  <c r="G99" i="5" s="1"/>
  <c r="E99" i="1" s="1"/>
  <c r="N41" i="5"/>
  <c r="O119" i="5"/>
  <c r="G119" i="5" s="1"/>
  <c r="O115" i="5"/>
  <c r="G115" i="5" s="1"/>
  <c r="E115" i="1" s="1"/>
  <c r="N111" i="5"/>
  <c r="O8" i="5"/>
  <c r="G8" i="5" s="1"/>
  <c r="V124" i="5"/>
  <c r="V112" i="5"/>
  <c r="N66" i="5"/>
  <c r="N78" i="5"/>
  <c r="N133" i="5"/>
  <c r="V118" i="5"/>
  <c r="N101" i="5"/>
  <c r="O86" i="5"/>
  <c r="G86" i="5" s="1"/>
  <c r="V108" i="5"/>
  <c r="O3" i="5"/>
  <c r="G3" i="5" s="1"/>
  <c r="N58" i="5"/>
  <c r="O120" i="5"/>
  <c r="G120" i="5" s="1"/>
  <c r="O80" i="5"/>
  <c r="G80" i="5" s="1"/>
  <c r="V109" i="5"/>
  <c r="O37" i="5"/>
  <c r="G37" i="5" s="1"/>
  <c r="N130" i="5"/>
  <c r="N11" i="5"/>
  <c r="V101" i="5"/>
  <c r="O48" i="5"/>
  <c r="G48" i="5" s="1"/>
  <c r="N132" i="5"/>
  <c r="N3" i="5"/>
  <c r="N35" i="5"/>
  <c r="O35" i="5"/>
  <c r="G35" i="5" s="1"/>
  <c r="V132" i="5"/>
  <c r="V115" i="5"/>
  <c r="N19" i="5"/>
  <c r="V94" i="5"/>
  <c r="N109" i="5"/>
  <c r="V11" i="5"/>
  <c r="V96" i="5"/>
  <c r="N108" i="5"/>
  <c r="N107" i="5"/>
  <c r="O54" i="5"/>
  <c r="G54" i="5" s="1"/>
  <c r="O91" i="5"/>
  <c r="G91" i="5" s="1"/>
  <c r="O19" i="5"/>
  <c r="G19" i="5" s="1"/>
  <c r="O44" i="5"/>
  <c r="G44" i="5" s="1"/>
  <c r="N34" i="5"/>
  <c r="N17" i="5"/>
  <c r="N79" i="5"/>
  <c r="N92" i="5"/>
  <c r="O96" i="5"/>
  <c r="G96" i="5" s="1"/>
  <c r="V110" i="5"/>
  <c r="O97" i="5"/>
  <c r="G97" i="5" s="1"/>
  <c r="N24" i="5"/>
  <c r="O87" i="5"/>
  <c r="G87" i="5" s="1"/>
  <c r="O131" i="5"/>
  <c r="G131" i="5" s="1"/>
  <c r="N59" i="5"/>
  <c r="O108" i="5"/>
  <c r="G108" i="5" s="1"/>
  <c r="V100" i="5"/>
  <c r="O11" i="5"/>
  <c r="G11" i="5" s="1"/>
  <c r="N42" i="5"/>
  <c r="N104" i="5"/>
  <c r="O43" i="5"/>
  <c r="G43" i="5" s="1"/>
  <c r="O128" i="5"/>
  <c r="G128" i="5" s="1"/>
  <c r="O130" i="5"/>
  <c r="G130" i="5" s="1"/>
  <c r="O132" i="5"/>
  <c r="G132" i="5" s="1"/>
  <c r="N40" i="5"/>
  <c r="O66" i="5"/>
  <c r="G66" i="5" s="1"/>
  <c r="N121" i="5"/>
  <c r="O59" i="5"/>
  <c r="G59" i="5" s="1"/>
  <c r="O29" i="5"/>
  <c r="G29" i="5" s="1"/>
  <c r="N126" i="5"/>
  <c r="N9" i="5"/>
  <c r="N15" i="5"/>
  <c r="O5" i="5"/>
  <c r="G5" i="5" s="1"/>
  <c r="O70" i="5"/>
  <c r="G70" i="5" s="1"/>
  <c r="O46" i="5"/>
  <c r="G46" i="5" s="1"/>
  <c r="N16" i="5"/>
  <c r="N39" i="5"/>
  <c r="O72" i="5"/>
  <c r="G72" i="5" s="1"/>
  <c r="O117" i="5"/>
  <c r="G117" i="5" s="1"/>
  <c r="N103" i="5"/>
  <c r="O106" i="5"/>
  <c r="G106" i="5" s="1"/>
  <c r="O42" i="5"/>
  <c r="G42" i="5" s="1"/>
  <c r="N10" i="5"/>
  <c r="N75" i="5"/>
  <c r="V105" i="5"/>
  <c r="N98" i="5"/>
  <c r="V120" i="5"/>
  <c r="O78" i="5"/>
  <c r="G78" i="5" s="1"/>
  <c r="O24" i="5"/>
  <c r="G24" i="5" s="1"/>
  <c r="O55" i="5"/>
  <c r="G55" i="5" s="1"/>
  <c r="O36" i="5"/>
  <c r="G36" i="5" s="1"/>
  <c r="O16" i="5"/>
  <c r="G16" i="5" s="1"/>
  <c r="O22" i="5"/>
  <c r="G22" i="5" s="1"/>
  <c r="N118" i="5"/>
  <c r="O116" i="5"/>
  <c r="G116" i="5" s="1"/>
  <c r="O6" i="5"/>
  <c r="G6" i="5" s="1"/>
  <c r="O10" i="5"/>
  <c r="G10" i="5" s="1"/>
  <c r="O20" i="5"/>
  <c r="G20" i="5" s="1"/>
  <c r="V111" i="5"/>
  <c r="V129" i="5"/>
  <c r="V131" i="5"/>
  <c r="O62" i="5"/>
  <c r="G62" i="5" s="1"/>
  <c r="O13" i="5"/>
  <c r="G13" i="5" s="1"/>
  <c r="N86" i="5"/>
  <c r="O93" i="5"/>
  <c r="G93" i="5" s="1"/>
  <c r="O90" i="5"/>
  <c r="G90" i="5" s="1"/>
  <c r="O33" i="5"/>
  <c r="G33" i="5" s="1"/>
  <c r="N67" i="5"/>
  <c r="V130" i="5"/>
  <c r="N70" i="5"/>
  <c r="N88" i="5"/>
  <c r="N26" i="5"/>
  <c r="N62" i="5"/>
  <c r="N29" i="5"/>
  <c r="O69" i="5"/>
  <c r="G69" i="5" s="1"/>
  <c r="O107" i="5"/>
  <c r="G107" i="5" s="1"/>
  <c r="N56" i="5"/>
  <c r="N7" i="5"/>
  <c r="N13" i="5"/>
  <c r="N105" i="5"/>
  <c r="N63" i="5"/>
  <c r="V125" i="5"/>
  <c r="N73" i="5"/>
  <c r="N96" i="5"/>
  <c r="V114" i="5"/>
  <c r="O31" i="5"/>
  <c r="G31" i="5" s="1"/>
  <c r="N91" i="5"/>
  <c r="N124" i="5"/>
  <c r="N57" i="5"/>
  <c r="O4" i="5"/>
  <c r="G4" i="5" s="1"/>
  <c r="O88" i="5"/>
  <c r="G88" i="5" s="1"/>
  <c r="O98" i="5"/>
  <c r="G98" i="5" s="1"/>
  <c r="E98" i="1" s="1"/>
  <c r="N82" i="5"/>
  <c r="V127" i="5"/>
  <c r="N100" i="5"/>
  <c r="O9" i="5"/>
  <c r="G9" i="5" s="1"/>
  <c r="O121" i="5"/>
  <c r="G121" i="5" s="1"/>
  <c r="N43" i="5"/>
  <c r="N31" i="5"/>
  <c r="N128" i="5"/>
  <c r="N32" i="5"/>
  <c r="N129" i="5"/>
  <c r="N120" i="5"/>
  <c r="O101" i="5"/>
  <c r="G101" i="5" s="1"/>
  <c r="O77" i="5"/>
  <c r="G77" i="5" s="1"/>
  <c r="O84" i="5"/>
  <c r="G84" i="5" s="1"/>
  <c r="O103" i="5"/>
  <c r="G103" i="5" s="1"/>
  <c r="N20" i="5"/>
  <c r="O75" i="5"/>
  <c r="G75" i="5" s="1"/>
  <c r="O122" i="5"/>
  <c r="G122" i="5" s="1"/>
  <c r="V106" i="5"/>
  <c r="N33" i="5"/>
  <c r="N114" i="5"/>
  <c r="N112" i="5"/>
  <c r="O61" i="5"/>
  <c r="G61" i="5" s="1"/>
  <c r="V117" i="5"/>
  <c r="N61" i="5"/>
  <c r="N93" i="5"/>
  <c r="O34" i="5"/>
  <c r="G34" i="5" s="1"/>
  <c r="O118" i="5"/>
  <c r="G118" i="5" s="1"/>
  <c r="N123" i="5"/>
  <c r="O7" i="5"/>
  <c r="G7" i="5" s="1"/>
  <c r="N2" i="5"/>
  <c r="O114" i="5"/>
  <c r="G114" i="5" s="1"/>
  <c r="E114" i="1" s="1"/>
  <c r="N4" i="5"/>
  <c r="O63" i="5"/>
  <c r="G63" i="5" s="1"/>
  <c r="N22" i="5"/>
  <c r="O30" i="5"/>
  <c r="G30" i="5" s="1"/>
  <c r="O52" i="5"/>
  <c r="G52" i="5" s="1"/>
  <c r="V122" i="5"/>
  <c r="O64" i="5"/>
  <c r="G64" i="5" s="1"/>
  <c r="V128" i="5"/>
  <c r="O51" i="5"/>
  <c r="G51" i="5" s="1"/>
  <c r="O58" i="5"/>
  <c r="G58" i="5" s="1"/>
  <c r="E58" i="1" s="1"/>
  <c r="V97" i="5"/>
  <c r="O23" i="5"/>
  <c r="G23" i="5" s="1"/>
  <c r="V121" i="5"/>
  <c r="N30" i="5"/>
  <c r="N44" i="5"/>
  <c r="V103" i="5"/>
  <c r="O92" i="5"/>
  <c r="G92" i="5" s="1"/>
  <c r="N116" i="5"/>
  <c r="O40" i="5"/>
  <c r="G40" i="5" s="1"/>
  <c r="O79" i="5"/>
  <c r="G79" i="5" s="1"/>
  <c r="V119" i="5"/>
  <c r="N84" i="5"/>
  <c r="V99" i="5"/>
  <c r="N94" i="5"/>
  <c r="N117" i="5"/>
  <c r="N95" i="5"/>
  <c r="O60" i="5"/>
  <c r="G60" i="5" s="1"/>
  <c r="O71" i="5"/>
  <c r="G71" i="5" s="1"/>
  <c r="N87" i="5"/>
  <c r="O129" i="5"/>
  <c r="G129" i="5" s="1"/>
  <c r="N65" i="5"/>
  <c r="O112" i="5"/>
  <c r="G112" i="5" s="1"/>
  <c r="N80" i="5"/>
  <c r="O124" i="5"/>
  <c r="G124" i="5" s="1"/>
  <c r="O133" i="5"/>
  <c r="G133" i="5" s="1"/>
  <c r="O21" i="5"/>
  <c r="G21" i="5" s="1"/>
  <c r="N60" i="5"/>
  <c r="N119" i="5"/>
  <c r="N28" i="5"/>
  <c r="V95" i="5"/>
  <c r="O26" i="5"/>
  <c r="G26" i="5" s="1"/>
  <c r="O111" i="5"/>
  <c r="G111" i="5" s="1"/>
  <c r="O2" i="5"/>
  <c r="G2" i="5" s="1"/>
  <c r="O67" i="5"/>
  <c r="G67" i="5" s="1"/>
  <c r="O57" i="5"/>
  <c r="G57" i="5" s="1"/>
  <c r="D57" i="24" s="1"/>
  <c r="O50" i="5"/>
  <c r="G50" i="5" s="1"/>
  <c r="O85" i="5"/>
  <c r="G85" i="5" s="1"/>
  <c r="V126" i="5"/>
  <c r="V104" i="5"/>
  <c r="N106" i="5"/>
  <c r="O28" i="5"/>
  <c r="G28" i="5" s="1"/>
  <c r="O49" i="5"/>
  <c r="G49" i="5" s="1"/>
  <c r="N25" i="5"/>
  <c r="O123" i="5"/>
  <c r="G123" i="5" s="1"/>
  <c r="O94" i="5"/>
  <c r="G94" i="5" s="1"/>
  <c r="V113" i="5"/>
  <c r="O53" i="5"/>
  <c r="G53" i="5" s="1"/>
  <c r="O32" i="5"/>
  <c r="G32" i="5" s="1"/>
  <c r="N64" i="5"/>
  <c r="N115" i="5"/>
  <c r="N12" i="5"/>
  <c r="V107" i="5"/>
  <c r="O82" i="5"/>
  <c r="G82" i="5" s="1"/>
  <c r="N72" i="5"/>
  <c r="N74" i="5"/>
  <c r="N6" i="5"/>
  <c r="O25" i="5"/>
  <c r="G25" i="5" s="1"/>
  <c r="O17" i="5"/>
  <c r="G17" i="5" s="1"/>
  <c r="O73" i="5"/>
  <c r="G73" i="5" s="1"/>
  <c r="N53" i="5"/>
  <c r="N97" i="5"/>
  <c r="N71" i="5"/>
  <c r="O15" i="5"/>
  <c r="G15" i="5" s="1"/>
  <c r="O39" i="5"/>
  <c r="G39" i="5" s="1"/>
  <c r="N48" i="5"/>
  <c r="N85" i="5"/>
  <c r="O74" i="5"/>
  <c r="G74" i="5" s="1"/>
  <c r="N52" i="5"/>
  <c r="N21" i="5"/>
  <c r="N36" i="5"/>
  <c r="V98" i="5"/>
  <c r="O41" i="5"/>
  <c r="G41" i="5" s="1"/>
  <c r="O12" i="5"/>
  <c r="G12" i="5" s="1"/>
  <c r="O65" i="5"/>
  <c r="G65" i="5" s="1"/>
  <c r="V116" i="5"/>
  <c r="O100" i="5"/>
  <c r="G100" i="5" s="1"/>
  <c r="D100" i="24" s="1"/>
  <c r="O56" i="5"/>
  <c r="G56" i="5" s="1"/>
  <c r="E56" i="1" s="1"/>
  <c r="N23" i="5"/>
  <c r="N49" i="5"/>
  <c r="N77" i="5"/>
  <c r="N122" i="5"/>
  <c r="V123" i="5"/>
  <c r="O102" i="5"/>
  <c r="G102" i="5" s="1"/>
  <c r="O105" i="5"/>
  <c r="G105" i="5" s="1"/>
  <c r="O104" i="5"/>
  <c r="G104" i="5" s="1"/>
  <c r="N102" i="5"/>
  <c r="N38" i="5"/>
  <c r="N55" i="5"/>
  <c r="N46" i="5"/>
  <c r="N81" i="5"/>
  <c r="N54" i="5"/>
  <c r="O95" i="5"/>
  <c r="G95" i="5" s="1"/>
  <c r="O18" i="5"/>
  <c r="G18" i="5" s="1"/>
  <c r="D18" i="24" s="1"/>
  <c r="N51" i="5"/>
  <c r="N110" i="5"/>
  <c r="O125" i="5"/>
  <c r="G125" i="5" s="1"/>
  <c r="E125" i="1" s="1"/>
  <c r="F69" i="1"/>
  <c r="O126" i="5"/>
  <c r="G126" i="5" s="1"/>
  <c r="N69" i="5"/>
  <c r="V102" i="5"/>
  <c r="N14" i="5"/>
  <c r="N68" i="5"/>
  <c r="O45" i="5"/>
  <c r="G45" i="5" s="1"/>
  <c r="E45" i="1" s="1"/>
  <c r="N45" i="5"/>
  <c r="V133" i="5"/>
  <c r="O14" i="5"/>
  <c r="G14" i="5" s="1"/>
  <c r="D14" i="24" s="1"/>
  <c r="N47" i="5"/>
  <c r="O81" i="5"/>
  <c r="G81" i="5" s="1"/>
  <c r="E81" i="1" s="1"/>
  <c r="N83" i="5"/>
  <c r="N5" i="5"/>
  <c r="O110" i="5"/>
  <c r="G110" i="5" s="1"/>
  <c r="E110" i="1" s="1"/>
  <c r="AE73" i="5"/>
  <c r="AE31" i="5"/>
  <c r="AE64" i="5"/>
  <c r="AE35" i="5"/>
  <c r="AE127" i="5"/>
  <c r="AE44" i="5"/>
  <c r="AE49" i="5"/>
  <c r="AE7" i="5"/>
  <c r="AE30" i="5"/>
  <c r="AE21" i="5"/>
  <c r="AE108" i="5"/>
  <c r="AE113" i="5"/>
  <c r="AE120" i="5"/>
  <c r="AE77" i="5"/>
  <c r="AE114" i="5"/>
  <c r="AE119" i="5"/>
  <c r="AE79" i="5"/>
  <c r="AE109" i="5"/>
  <c r="F97" i="1"/>
  <c r="AE99" i="5"/>
  <c r="AE3" i="5"/>
  <c r="AE115" i="5"/>
  <c r="AE46" i="5"/>
  <c r="AE101" i="5"/>
  <c r="AE34" i="5"/>
  <c r="AE39" i="5"/>
  <c r="O38" i="5"/>
  <c r="G38" i="5" s="1"/>
  <c r="E38" i="1" s="1"/>
  <c r="O68" i="5"/>
  <c r="G68" i="5" s="1"/>
  <c r="D68" i="24" s="1"/>
  <c r="AE107" i="5"/>
  <c r="AE33" i="5"/>
  <c r="AE75" i="5"/>
  <c r="AE12" i="5"/>
  <c r="AE52" i="5"/>
  <c r="AE131" i="5"/>
  <c r="AE55" i="5"/>
  <c r="AE123" i="5"/>
  <c r="AE122" i="5"/>
  <c r="AE118" i="5"/>
  <c r="AE78" i="5"/>
  <c r="AE112" i="5"/>
  <c r="AE40" i="5"/>
  <c r="F102" i="1"/>
  <c r="AE58" i="5"/>
  <c r="AE4" i="5"/>
  <c r="AE32" i="5"/>
  <c r="AE98" i="5"/>
  <c r="F111" i="1"/>
  <c r="F59" i="1"/>
  <c r="F64" i="1"/>
  <c r="F57" i="1"/>
  <c r="F77" i="1"/>
  <c r="N125" i="5"/>
  <c r="O83" i="5"/>
  <c r="G83" i="5" s="1"/>
  <c r="E83" i="1" s="1"/>
  <c r="O27" i="5"/>
  <c r="G27" i="5" s="1"/>
  <c r="E27" i="1" s="1"/>
  <c r="F74" i="1"/>
  <c r="O127" i="5"/>
  <c r="G127" i="5" s="1"/>
  <c r="E127" i="1" s="1"/>
  <c r="N127" i="5"/>
  <c r="F91" i="1"/>
  <c r="F21" i="1"/>
  <c r="F89" i="1"/>
  <c r="N76" i="5"/>
  <c r="O47" i="5"/>
  <c r="G47" i="5" s="1"/>
  <c r="E47" i="1" s="1"/>
  <c r="N18" i="5"/>
  <c r="F6" i="1"/>
  <c r="F67" i="1"/>
  <c r="F38" i="1"/>
  <c r="F128" i="1"/>
  <c r="F40" i="1"/>
  <c r="F76" i="1"/>
  <c r="O76" i="5"/>
  <c r="G76" i="5" s="1"/>
  <c r="E76" i="1" s="1"/>
  <c r="N27" i="5"/>
  <c r="F28" i="1"/>
  <c r="F52" i="1"/>
  <c r="F8" i="1"/>
  <c r="F104" i="1"/>
  <c r="F99" i="1"/>
  <c r="F25" i="1"/>
  <c r="F35" i="1"/>
  <c r="F87" i="1"/>
  <c r="F112" i="1"/>
  <c r="F23" i="1"/>
  <c r="F37" i="1"/>
  <c r="F2" i="1"/>
  <c r="F88" i="1"/>
  <c r="F48" i="1"/>
  <c r="F7" i="1"/>
  <c r="F44" i="1"/>
  <c r="F114" i="1"/>
  <c r="F4" i="1"/>
  <c r="F90" i="1"/>
  <c r="F34" i="1"/>
  <c r="F72" i="1"/>
  <c r="F66" i="1"/>
  <c r="F79" i="1"/>
  <c r="F65" i="1"/>
  <c r="F31" i="1"/>
  <c r="F18" i="1"/>
  <c r="F61" i="1"/>
  <c r="F68" i="1"/>
  <c r="F22" i="1"/>
  <c r="F10" i="1"/>
  <c r="F101" i="1"/>
  <c r="F126" i="1"/>
  <c r="F49" i="1"/>
  <c r="F82" i="1"/>
  <c r="F81" i="1"/>
  <c r="F24" i="1"/>
  <c r="F32" i="1"/>
  <c r="F26" i="1"/>
  <c r="F84" i="1"/>
  <c r="F51" i="1"/>
  <c r="F117" i="1"/>
  <c r="F131" i="1"/>
  <c r="F39" i="1"/>
  <c r="F121" i="1"/>
  <c r="F73" i="1"/>
  <c r="F100" i="1"/>
  <c r="F47" i="1"/>
  <c r="F11" i="1"/>
  <c r="F113" i="1"/>
  <c r="F70" i="1"/>
  <c r="F62" i="1"/>
  <c r="F93" i="1"/>
  <c r="F41" i="1"/>
  <c r="F116" i="1"/>
  <c r="F105" i="1"/>
  <c r="F20" i="1"/>
  <c r="F46" i="1"/>
  <c r="F45" i="1"/>
  <c r="F98" i="1"/>
  <c r="F115" i="1"/>
  <c r="F13" i="1"/>
  <c r="F9" i="1"/>
  <c r="F12" i="1"/>
  <c r="F108" i="1"/>
  <c r="F53" i="1"/>
  <c r="F19" i="1"/>
  <c r="F86" i="1"/>
  <c r="F110" i="1"/>
  <c r="F27" i="1"/>
  <c r="F132" i="1"/>
  <c r="F33" i="1"/>
  <c r="F129" i="1"/>
  <c r="F54" i="1"/>
  <c r="F80" i="1"/>
  <c r="F119" i="1"/>
  <c r="F103" i="1"/>
  <c r="F63" i="1"/>
  <c r="F127" i="1"/>
  <c r="F133" i="1"/>
  <c r="F122" i="1"/>
  <c r="F120" i="1"/>
  <c r="F107" i="1"/>
  <c r="F60" i="1"/>
  <c r="F15" i="1"/>
  <c r="F124" i="1"/>
  <c r="F83" i="1"/>
  <c r="F123" i="1"/>
  <c r="F95" i="1"/>
  <c r="F75" i="1"/>
  <c r="F50" i="1"/>
  <c r="F78" i="1"/>
  <c r="F92" i="1"/>
  <c r="F94" i="1"/>
  <c r="F30" i="1"/>
  <c r="F3" i="1"/>
  <c r="F29" i="1"/>
  <c r="F106" i="1"/>
  <c r="F36" i="1"/>
  <c r="F130" i="1"/>
  <c r="F16" i="1"/>
  <c r="F43" i="1"/>
  <c r="F17" i="1"/>
  <c r="F42" i="1"/>
  <c r="F58" i="1"/>
  <c r="F55" i="1"/>
  <c r="F109" i="1"/>
  <c r="F125" i="1"/>
  <c r="F96" i="1"/>
  <c r="F5" i="1"/>
  <c r="F14" i="1"/>
  <c r="F118" i="1"/>
  <c r="F56" i="1"/>
  <c r="F85" i="1"/>
  <c r="F71" i="1"/>
  <c r="D5" i="6"/>
  <c r="E4" i="6"/>
  <c r="H3" i="6" s="1"/>
  <c r="K3" i="6" s="1"/>
  <c r="E6" i="6"/>
  <c r="J3" i="6" s="1"/>
  <c r="M3" i="6" s="1"/>
  <c r="D6" i="6"/>
  <c r="E5" i="6"/>
  <c r="I3" i="6" s="1"/>
  <c r="L3" i="6" s="1"/>
  <c r="D4" i="6"/>
  <c r="J5" i="3"/>
  <c r="V6" i="5"/>
  <c r="J8" i="3"/>
  <c r="J6" i="3"/>
  <c r="J9" i="3"/>
  <c r="J7" i="3"/>
  <c r="W51" i="1" l="1"/>
  <c r="AK51" i="1" s="1"/>
  <c r="W49" i="1"/>
  <c r="AK49" i="1" s="1"/>
  <c r="W50" i="1"/>
  <c r="AK50" i="1" s="1"/>
  <c r="W48" i="1"/>
  <c r="AK48" i="1" s="1"/>
  <c r="D149" i="1"/>
  <c r="C149" i="24"/>
  <c r="D145" i="1"/>
  <c r="C145" i="24"/>
  <c r="C141" i="24"/>
  <c r="D141" i="1"/>
  <c r="D151" i="1"/>
  <c r="C151" i="24"/>
  <c r="D148" i="1"/>
  <c r="C148" i="24"/>
  <c r="D147" i="1"/>
  <c r="C147" i="24"/>
  <c r="D146" i="1"/>
  <c r="C146" i="24"/>
  <c r="D144" i="1"/>
  <c r="C144" i="24"/>
  <c r="C143" i="24"/>
  <c r="D143" i="1"/>
  <c r="C142" i="24"/>
  <c r="D142" i="1"/>
  <c r="C140" i="24"/>
  <c r="D140" i="1"/>
  <c r="D150" i="1"/>
  <c r="C150" i="24"/>
  <c r="E151" i="1"/>
  <c r="X151" i="1" s="1"/>
  <c r="AA51" i="1" s="1"/>
  <c r="D151" i="24"/>
  <c r="E150" i="1"/>
  <c r="X150" i="1" s="1"/>
  <c r="Z51" i="1" s="1"/>
  <c r="D150" i="24"/>
  <c r="E149" i="1"/>
  <c r="D149" i="24"/>
  <c r="E145" i="1"/>
  <c r="X145" i="1" s="1"/>
  <c r="AA49" i="1" s="1"/>
  <c r="D145" i="24"/>
  <c r="E144" i="1"/>
  <c r="X144" i="1" s="1"/>
  <c r="Z49" i="1" s="1"/>
  <c r="D144" i="24"/>
  <c r="D143" i="24"/>
  <c r="E143" i="1"/>
  <c r="D142" i="24"/>
  <c r="E142" i="1"/>
  <c r="X142" i="1" s="1"/>
  <c r="AA48" i="1" s="1"/>
  <c r="E141" i="1"/>
  <c r="X141" i="1" s="1"/>
  <c r="Z48" i="1" s="1"/>
  <c r="D141" i="24"/>
  <c r="D140" i="24"/>
  <c r="E140" i="1"/>
  <c r="E148" i="1"/>
  <c r="X148" i="1" s="1"/>
  <c r="AA50" i="1" s="1"/>
  <c r="D148" i="24"/>
  <c r="G147" i="5"/>
  <c r="E146" i="1"/>
  <c r="D146" i="24"/>
  <c r="D137" i="1"/>
  <c r="C137" i="24"/>
  <c r="E137" i="1"/>
  <c r="X137" i="1" s="1"/>
  <c r="Y47" i="1" s="1"/>
  <c r="AB47" i="1" s="1"/>
  <c r="D137" i="24"/>
  <c r="D139" i="1"/>
  <c r="C139" i="24"/>
  <c r="E139" i="1"/>
  <c r="X139" i="1" s="1"/>
  <c r="AA47" i="1" s="1"/>
  <c r="AD47" i="1" s="1"/>
  <c r="D139" i="24"/>
  <c r="D138" i="1"/>
  <c r="C138" i="24"/>
  <c r="E138" i="1"/>
  <c r="X138" i="1" s="1"/>
  <c r="Z47" i="1" s="1"/>
  <c r="AC47" i="1" s="1"/>
  <c r="D138" i="24"/>
  <c r="E136" i="1"/>
  <c r="X136" i="1" s="1"/>
  <c r="AA46" i="1" s="1"/>
  <c r="D136" i="24"/>
  <c r="D136" i="1"/>
  <c r="C136" i="24"/>
  <c r="D135" i="1"/>
  <c r="C135" i="24"/>
  <c r="E134" i="1"/>
  <c r="X134" i="1" s="1"/>
  <c r="Y46" i="1" s="1"/>
  <c r="D134" i="24"/>
  <c r="D134" i="1"/>
  <c r="C134" i="24"/>
  <c r="E135" i="1"/>
  <c r="X135" i="1" s="1"/>
  <c r="Z46" i="1" s="1"/>
  <c r="D135" i="24"/>
  <c r="R19" i="34"/>
  <c r="R20" i="34"/>
  <c r="N19" i="34"/>
  <c r="N20" i="34"/>
  <c r="N22" i="34"/>
  <c r="W47" i="1"/>
  <c r="AK47" i="1" s="1"/>
  <c r="J134" i="3"/>
  <c r="J136" i="3"/>
  <c r="J138" i="3"/>
  <c r="J139" i="3"/>
  <c r="J135" i="3"/>
  <c r="J137" i="3"/>
  <c r="V10" i="5"/>
  <c r="W46" i="1"/>
  <c r="AK46" i="1" s="1"/>
  <c r="J103" i="3"/>
  <c r="J68" i="3"/>
  <c r="M10" i="6"/>
  <c r="P10" i="6"/>
  <c r="O10" i="6"/>
  <c r="L10" i="6"/>
  <c r="N10" i="6"/>
  <c r="Q10" i="6" s="1"/>
  <c r="I17" i="6"/>
  <c r="L17" i="6" s="1"/>
  <c r="H24" i="6"/>
  <c r="K24" i="6" s="1"/>
  <c r="H17" i="6"/>
  <c r="K17" i="6" s="1"/>
  <c r="J118" i="3"/>
  <c r="C109" i="24"/>
  <c r="J111" i="3"/>
  <c r="J80" i="3"/>
  <c r="J70" i="3"/>
  <c r="J127" i="3"/>
  <c r="J55" i="3"/>
  <c r="J31" i="3"/>
  <c r="J84" i="3"/>
  <c r="J30" i="3"/>
  <c r="J105" i="3"/>
  <c r="J60" i="3"/>
  <c r="J41" i="3"/>
  <c r="J90" i="3"/>
  <c r="J91" i="3"/>
  <c r="J131" i="3"/>
  <c r="J36" i="3"/>
  <c r="J44" i="3"/>
  <c r="J94" i="3"/>
  <c r="J104" i="3"/>
  <c r="J98" i="3"/>
  <c r="J82" i="3"/>
  <c r="J23" i="3"/>
  <c r="J119" i="3"/>
  <c r="J109" i="3"/>
  <c r="J24" i="3"/>
  <c r="J16" i="3"/>
  <c r="J14" i="3"/>
  <c r="J65" i="3"/>
  <c r="J75" i="3"/>
  <c r="J45" i="3"/>
  <c r="J108" i="3"/>
  <c r="J28" i="3"/>
  <c r="J59" i="3"/>
  <c r="J47" i="3"/>
  <c r="J39" i="3"/>
  <c r="J74" i="3"/>
  <c r="J110" i="3"/>
  <c r="J121" i="3"/>
  <c r="J40" i="3"/>
  <c r="J10" i="3"/>
  <c r="J49" i="3"/>
  <c r="J13" i="3"/>
  <c r="J123" i="3"/>
  <c r="J42" i="3"/>
  <c r="D88" i="1"/>
  <c r="J71" i="3"/>
  <c r="J56" i="3"/>
  <c r="J99" i="3"/>
  <c r="J114" i="3"/>
  <c r="J116" i="3"/>
  <c r="J67" i="3"/>
  <c r="J54" i="3"/>
  <c r="J129" i="3"/>
  <c r="C132" i="24"/>
  <c r="D108" i="1"/>
  <c r="C84" i="24"/>
  <c r="D62" i="1"/>
  <c r="C123" i="24"/>
  <c r="D6" i="1"/>
  <c r="D97" i="1"/>
  <c r="D112" i="1"/>
  <c r="C51" i="24"/>
  <c r="D78" i="1"/>
  <c r="C8" i="24"/>
  <c r="C66" i="24"/>
  <c r="D124" i="1"/>
  <c r="D106" i="1"/>
  <c r="C44" i="24"/>
  <c r="D120" i="1"/>
  <c r="D133" i="1"/>
  <c r="C131" i="24"/>
  <c r="D55" i="1"/>
  <c r="D7" i="1"/>
  <c r="C19" i="24"/>
  <c r="C26" i="24"/>
  <c r="C105" i="24"/>
  <c r="C21" i="24"/>
  <c r="D129" i="1"/>
  <c r="C63" i="24"/>
  <c r="C11" i="24"/>
  <c r="D34" i="1"/>
  <c r="C116" i="24"/>
  <c r="D22" i="1"/>
  <c r="C10" i="24"/>
  <c r="C30" i="24"/>
  <c r="C126" i="24"/>
  <c r="C130" i="24"/>
  <c r="D80" i="1"/>
  <c r="C72" i="24"/>
  <c r="C50" i="24"/>
  <c r="D121" i="1"/>
  <c r="C118" i="24"/>
  <c r="C37" i="24"/>
  <c r="C42" i="24"/>
  <c r="C39" i="24"/>
  <c r="J113" i="3"/>
  <c r="J69" i="3"/>
  <c r="J130" i="3"/>
  <c r="J78" i="3"/>
  <c r="J97" i="3"/>
  <c r="J34" i="3"/>
  <c r="J77" i="3"/>
  <c r="J26" i="3"/>
  <c r="J21" i="3"/>
  <c r="J11" i="3"/>
  <c r="J73" i="3"/>
  <c r="J102" i="3"/>
  <c r="J32" i="3"/>
  <c r="J63" i="3"/>
  <c r="J107" i="3"/>
  <c r="J86" i="3"/>
  <c r="J66" i="3"/>
  <c r="J72" i="3"/>
  <c r="J128" i="3"/>
  <c r="J87" i="3"/>
  <c r="J106" i="3"/>
  <c r="J100" i="3"/>
  <c r="J96" i="3"/>
  <c r="J43" i="3"/>
  <c r="J81" i="3"/>
  <c r="J95" i="3"/>
  <c r="J17" i="3"/>
  <c r="J89" i="3"/>
  <c r="J57" i="3"/>
  <c r="J125" i="3"/>
  <c r="J133" i="3"/>
  <c r="J33" i="3"/>
  <c r="J120" i="3"/>
  <c r="J18" i="3"/>
  <c r="J92" i="3"/>
  <c r="J62" i="3"/>
  <c r="J35" i="3"/>
  <c r="J132" i="3"/>
  <c r="J15" i="3"/>
  <c r="J12" i="3"/>
  <c r="J37" i="3"/>
  <c r="J58" i="3"/>
  <c r="J76" i="3"/>
  <c r="J50" i="3"/>
  <c r="J53" i="3"/>
  <c r="J115" i="3"/>
  <c r="J27" i="3"/>
  <c r="J29" i="3"/>
  <c r="J85" i="3"/>
  <c r="J124" i="3"/>
  <c r="J122" i="3"/>
  <c r="J22" i="3"/>
  <c r="J83" i="3"/>
  <c r="J20" i="3"/>
  <c r="J88" i="3"/>
  <c r="J117" i="3"/>
  <c r="J79" i="3"/>
  <c r="J46" i="3"/>
  <c r="J64" i="3"/>
  <c r="J101" i="3"/>
  <c r="J38" i="3"/>
  <c r="J93" i="3"/>
  <c r="J112" i="3"/>
  <c r="J51" i="3"/>
  <c r="J126" i="3"/>
  <c r="J48" i="3"/>
  <c r="J52" i="3"/>
  <c r="J61" i="3"/>
  <c r="J25" i="3"/>
  <c r="J19" i="3"/>
  <c r="C104" i="24"/>
  <c r="D40" i="1"/>
  <c r="C111" i="24"/>
  <c r="D52" i="1"/>
  <c r="D12" i="1"/>
  <c r="C85" i="24"/>
  <c r="D48" i="1"/>
  <c r="C46" i="24"/>
  <c r="C61" i="24"/>
  <c r="D89" i="1"/>
  <c r="C93" i="24"/>
  <c r="D25" i="1"/>
  <c r="D67" i="1"/>
  <c r="C49" i="24"/>
  <c r="C119" i="24"/>
  <c r="C95" i="24"/>
  <c r="D15" i="1"/>
  <c r="C13" i="24"/>
  <c r="D20" i="1"/>
  <c r="C70" i="24"/>
  <c r="D23" i="1"/>
  <c r="C102" i="24"/>
  <c r="C75" i="24"/>
  <c r="C117" i="24"/>
  <c r="C65" i="24"/>
  <c r="C94" i="24"/>
  <c r="C60" i="24"/>
  <c r="C36" i="24"/>
  <c r="D79" i="1"/>
  <c r="C92" i="24"/>
  <c r="C96" i="24"/>
  <c r="C107" i="24"/>
  <c r="D9" i="1"/>
  <c r="O17" i="6"/>
  <c r="D101" i="1"/>
  <c r="C29" i="24"/>
  <c r="C77" i="24"/>
  <c r="D53" i="1"/>
  <c r="C31" i="24"/>
  <c r="D73" i="1"/>
  <c r="D32" i="1"/>
  <c r="D2" i="1"/>
  <c r="C64" i="24"/>
  <c r="C74" i="24"/>
  <c r="D43" i="1"/>
  <c r="C3" i="24"/>
  <c r="C86" i="24"/>
  <c r="D28" i="55"/>
  <c r="D21" i="55"/>
  <c r="D8" i="55"/>
  <c r="C4" i="24"/>
  <c r="D91" i="1"/>
  <c r="D28" i="1"/>
  <c r="C81" i="24"/>
  <c r="D115" i="24"/>
  <c r="M24" i="6"/>
  <c r="L31" i="6"/>
  <c r="N31" i="6"/>
  <c r="Q31" i="6" s="1"/>
  <c r="L24" i="6"/>
  <c r="O24" i="6" s="1"/>
  <c r="N24" i="6"/>
  <c r="Q24" i="6" s="1"/>
  <c r="C103" i="24"/>
  <c r="M31" i="6"/>
  <c r="P31" i="6" s="1"/>
  <c r="C82" i="24"/>
  <c r="C59" i="24"/>
  <c r="D41" i="55"/>
  <c r="D34" i="55"/>
  <c r="D33" i="1"/>
  <c r="C71" i="24"/>
  <c r="D22" i="55"/>
  <c r="D48" i="55"/>
  <c r="D15" i="55"/>
  <c r="D50" i="55"/>
  <c r="C5" i="24"/>
  <c r="D36" i="55"/>
  <c r="D29" i="55"/>
  <c r="D99" i="24"/>
  <c r="D43" i="55"/>
  <c r="C69" i="24"/>
  <c r="C87" i="24"/>
  <c r="D128" i="1"/>
  <c r="C122" i="24"/>
  <c r="C76" i="24"/>
  <c r="D35" i="55"/>
  <c r="D42" i="55"/>
  <c r="D7" i="55"/>
  <c r="D49" i="55"/>
  <c r="D14" i="55"/>
  <c r="D6" i="55"/>
  <c r="C16" i="24"/>
  <c r="D90" i="1"/>
  <c r="D58" i="24"/>
  <c r="D115" i="1"/>
  <c r="C127" i="24"/>
  <c r="C125" i="24"/>
  <c r="D114" i="1"/>
  <c r="E57" i="1"/>
  <c r="X57" i="1" s="1"/>
  <c r="Z20" i="1" s="1"/>
  <c r="AC20" i="1" s="1"/>
  <c r="D98" i="24"/>
  <c r="C99" i="24"/>
  <c r="D125" i="24"/>
  <c r="D114" i="24"/>
  <c r="E100" i="1"/>
  <c r="X100" i="1" s="1"/>
  <c r="AA34" i="1" s="1"/>
  <c r="AD34" i="1" s="1"/>
  <c r="X125" i="1"/>
  <c r="Y43" i="1" s="1"/>
  <c r="AB43" i="1" s="1"/>
  <c r="C68" i="24"/>
  <c r="C24" i="24"/>
  <c r="D83" i="1"/>
  <c r="D56" i="24"/>
  <c r="D20" i="55"/>
  <c r="C17" i="24"/>
  <c r="C110" i="24"/>
  <c r="E18" i="1"/>
  <c r="X18" i="1" s="1"/>
  <c r="Z7" i="1" s="1"/>
  <c r="AC7" i="1" s="1"/>
  <c r="D81" i="24"/>
  <c r="D13" i="55"/>
  <c r="D54" i="1"/>
  <c r="C98" i="24"/>
  <c r="D127" i="24"/>
  <c r="D45" i="24"/>
  <c r="D35" i="1"/>
  <c r="D27" i="55"/>
  <c r="C45" i="24"/>
  <c r="D113" i="1"/>
  <c r="C100" i="24"/>
  <c r="E14" i="1"/>
  <c r="X14" i="1" s="1"/>
  <c r="Y6" i="1" s="1"/>
  <c r="E68" i="1"/>
  <c r="X68" i="1" s="1"/>
  <c r="Y24" i="1" s="1"/>
  <c r="D47" i="1"/>
  <c r="C27" i="24"/>
  <c r="W38" i="1"/>
  <c r="D110" i="24"/>
  <c r="X38" i="1"/>
  <c r="Y14" i="1" s="1"/>
  <c r="AB14" i="1" s="1"/>
  <c r="D38" i="24"/>
  <c r="X83" i="1"/>
  <c r="Y29" i="1" s="1"/>
  <c r="AB29" i="1" s="1"/>
  <c r="D83" i="24"/>
  <c r="C41" i="24"/>
  <c r="W22" i="1"/>
  <c r="C38" i="24"/>
  <c r="C18" i="24"/>
  <c r="D58" i="1"/>
  <c r="C14" i="24"/>
  <c r="D47" i="24"/>
  <c r="X110" i="1"/>
  <c r="Y38" i="1" s="1"/>
  <c r="AB38" i="1" s="1"/>
  <c r="D27" i="24"/>
  <c r="C57" i="24"/>
  <c r="W31" i="1"/>
  <c r="W26" i="1"/>
  <c r="W3" i="1"/>
  <c r="D76" i="24"/>
  <c r="W14" i="1"/>
  <c r="W13" i="1"/>
  <c r="D56" i="1"/>
  <c r="W27" i="1"/>
  <c r="W2" i="1"/>
  <c r="AK2" i="1" s="1"/>
  <c r="W30" i="1"/>
  <c r="W34" i="1"/>
  <c r="W35" i="1"/>
  <c r="W9" i="1"/>
  <c r="W18" i="1"/>
  <c r="W8" i="1"/>
  <c r="W23" i="1"/>
  <c r="W4" i="1"/>
  <c r="W21" i="1"/>
  <c r="W24" i="1"/>
  <c r="W17" i="1"/>
  <c r="W25" i="1"/>
  <c r="W12" i="1"/>
  <c r="W28" i="1"/>
  <c r="W10" i="1"/>
  <c r="W36" i="1"/>
  <c r="W39" i="1"/>
  <c r="W40" i="1"/>
  <c r="W5" i="1"/>
  <c r="W7" i="1"/>
  <c r="W16" i="1"/>
  <c r="W6" i="1"/>
  <c r="W41" i="1"/>
  <c r="W43" i="1"/>
  <c r="AK43" i="1" s="1"/>
  <c r="W15" i="1"/>
  <c r="W45" i="1"/>
  <c r="W44" i="1"/>
  <c r="W29" i="1"/>
  <c r="W42" i="1"/>
  <c r="W33" i="1"/>
  <c r="W37" i="1"/>
  <c r="W19" i="1"/>
  <c r="W32" i="1"/>
  <c r="W20" i="1"/>
  <c r="W11" i="1"/>
  <c r="P3" i="6"/>
  <c r="O3" i="6"/>
  <c r="N3" i="6"/>
  <c r="Q3" i="6" s="1"/>
  <c r="X115" i="1"/>
  <c r="AA39" i="1" s="1"/>
  <c r="AD39" i="1" s="1"/>
  <c r="X114" i="1"/>
  <c r="Z39" i="1" s="1"/>
  <c r="AC39" i="1" s="1"/>
  <c r="X98" i="1"/>
  <c r="Y34" i="1" s="1"/>
  <c r="AB34" i="1" s="1"/>
  <c r="X99" i="1"/>
  <c r="Z34" i="1" s="1"/>
  <c r="AC34" i="1" s="1"/>
  <c r="X58" i="1"/>
  <c r="AA20" i="1" s="1"/>
  <c r="AD20" i="1" s="1"/>
  <c r="X56" i="1"/>
  <c r="Y20" i="1" s="1"/>
  <c r="AB20" i="1" s="1"/>
  <c r="E50" i="55"/>
  <c r="F50" i="55" s="1"/>
  <c r="K47" i="55" s="1"/>
  <c r="E36" i="55"/>
  <c r="F36" i="55" s="1"/>
  <c r="K33" i="55" s="1"/>
  <c r="E15" i="55"/>
  <c r="F15" i="55" s="1"/>
  <c r="K12" i="55" s="1"/>
  <c r="E29" i="55"/>
  <c r="F29" i="55" s="1"/>
  <c r="K26" i="55" s="1"/>
  <c r="E43" i="55"/>
  <c r="F43" i="55" s="1"/>
  <c r="K40" i="55" s="1"/>
  <c r="E22" i="55"/>
  <c r="F22" i="55" s="1"/>
  <c r="K19" i="55" s="1"/>
  <c r="E8" i="55"/>
  <c r="F8" i="55" s="1"/>
  <c r="K5" i="55" s="1"/>
  <c r="E113" i="1"/>
  <c r="D113" i="24"/>
  <c r="E21" i="55"/>
  <c r="F21" i="55" s="1"/>
  <c r="J19" i="55" s="1"/>
  <c r="E35" i="55"/>
  <c r="F35" i="55" s="1"/>
  <c r="J33" i="55" s="1"/>
  <c r="E28" i="55"/>
  <c r="F28" i="55" s="1"/>
  <c r="J26" i="55" s="1"/>
  <c r="E14" i="55"/>
  <c r="F14" i="55" s="1"/>
  <c r="J12" i="55" s="1"/>
  <c r="E42" i="55"/>
  <c r="F42" i="55" s="1"/>
  <c r="J40" i="55" s="1"/>
  <c r="E7" i="55"/>
  <c r="F7" i="55" s="1"/>
  <c r="J5" i="55" s="1"/>
  <c r="E49" i="55"/>
  <c r="F49" i="55" s="1"/>
  <c r="J47" i="55" s="1"/>
  <c r="E82" i="1"/>
  <c r="D82" i="24"/>
  <c r="E54" i="1"/>
  <c r="D54" i="24"/>
  <c r="E129" i="1"/>
  <c r="D129" i="24"/>
  <c r="E8" i="1"/>
  <c r="D8" i="24"/>
  <c r="E67" i="1"/>
  <c r="D67" i="24"/>
  <c r="E123" i="1"/>
  <c r="D123" i="24"/>
  <c r="E50" i="1"/>
  <c r="D50" i="24"/>
  <c r="E109" i="1"/>
  <c r="D109" i="24"/>
  <c r="E64" i="1"/>
  <c r="D64" i="24"/>
  <c r="X45" i="1"/>
  <c r="Z16" i="1" s="1"/>
  <c r="E7" i="1"/>
  <c r="D7" i="24"/>
  <c r="E131" i="1"/>
  <c r="D131" i="24"/>
  <c r="E9" i="1"/>
  <c r="D9" i="24"/>
  <c r="E61" i="1"/>
  <c r="D61" i="24"/>
  <c r="E30" i="1"/>
  <c r="D30" i="24"/>
  <c r="E72" i="1"/>
  <c r="D72" i="24"/>
  <c r="E26" i="1"/>
  <c r="D26" i="24"/>
  <c r="E70" i="1"/>
  <c r="D70" i="24"/>
  <c r="E33" i="1"/>
  <c r="D33" i="24"/>
  <c r="E107" i="1"/>
  <c r="D107" i="24"/>
  <c r="E97" i="1"/>
  <c r="D97" i="24"/>
  <c r="E74" i="1"/>
  <c r="D74" i="24"/>
  <c r="E21" i="1"/>
  <c r="D21" i="24"/>
  <c r="E6" i="1"/>
  <c r="D6" i="24"/>
  <c r="E23" i="1"/>
  <c r="D23" i="24"/>
  <c r="X81" i="1"/>
  <c r="Z28" i="1" s="1"/>
  <c r="E92" i="1"/>
  <c r="D92" i="24"/>
  <c r="E108" i="1"/>
  <c r="D108" i="24"/>
  <c r="E43" i="1"/>
  <c r="D43" i="24"/>
  <c r="E37" i="1"/>
  <c r="D37" i="24"/>
  <c r="E28" i="1"/>
  <c r="D28" i="24"/>
  <c r="E80" i="1"/>
  <c r="D80" i="24"/>
  <c r="E128" i="1"/>
  <c r="D128" i="24"/>
  <c r="E78" i="1"/>
  <c r="D78" i="24"/>
  <c r="E106" i="1"/>
  <c r="D106" i="24"/>
  <c r="E122" i="1"/>
  <c r="D122" i="24"/>
  <c r="E124" i="1"/>
  <c r="D124" i="24"/>
  <c r="E96" i="1"/>
  <c r="D96" i="24"/>
  <c r="E126" i="1"/>
  <c r="D126" i="24"/>
  <c r="E29" i="1"/>
  <c r="D29" i="24"/>
  <c r="E34" i="55"/>
  <c r="F34" i="55" s="1"/>
  <c r="I33" i="55" s="1"/>
  <c r="E41" i="55"/>
  <c r="F41" i="55" s="1"/>
  <c r="I40" i="55" s="1"/>
  <c r="E48" i="55"/>
  <c r="F48" i="55" s="1"/>
  <c r="I47" i="55" s="1"/>
  <c r="E27" i="55"/>
  <c r="F27" i="55" s="1"/>
  <c r="I26" i="55" s="1"/>
  <c r="E6" i="55"/>
  <c r="F6" i="55" s="1"/>
  <c r="I5" i="55" s="1"/>
  <c r="E20" i="55"/>
  <c r="F20" i="55" s="1"/>
  <c r="I19" i="55" s="1"/>
  <c r="E13" i="55"/>
  <c r="F13" i="55" s="1"/>
  <c r="I12" i="55" s="1"/>
  <c r="E31" i="1"/>
  <c r="D31" i="24"/>
  <c r="E101" i="1"/>
  <c r="D101" i="24"/>
  <c r="E51" i="1"/>
  <c r="D51" i="24"/>
  <c r="E44" i="1"/>
  <c r="D44" i="24"/>
  <c r="X27" i="1"/>
  <c r="Z10" i="1" s="1"/>
  <c r="E85" i="1"/>
  <c r="D85" i="24"/>
  <c r="E75" i="1"/>
  <c r="D75" i="24"/>
  <c r="E118" i="1"/>
  <c r="D118" i="24"/>
  <c r="E20" i="1"/>
  <c r="D20" i="24"/>
  <c r="E36" i="1"/>
  <c r="D36" i="24"/>
  <c r="E24" i="1"/>
  <c r="D24" i="24"/>
  <c r="E132" i="1"/>
  <c r="D132" i="24"/>
  <c r="X76" i="1"/>
  <c r="AA26" i="1" s="1"/>
  <c r="E90" i="1"/>
  <c r="D90" i="24"/>
  <c r="E105" i="1"/>
  <c r="D105" i="24"/>
  <c r="E65" i="1"/>
  <c r="D65" i="24"/>
  <c r="E62" i="1"/>
  <c r="D62" i="24"/>
  <c r="E103" i="1"/>
  <c r="D103" i="24"/>
  <c r="E16" i="1"/>
  <c r="D16" i="24"/>
  <c r="E12" i="1"/>
  <c r="D12" i="24"/>
  <c r="E73" i="1"/>
  <c r="D73" i="24"/>
  <c r="E34" i="1"/>
  <c r="D34" i="24"/>
  <c r="E40" i="1"/>
  <c r="D40" i="24"/>
  <c r="E121" i="1"/>
  <c r="D121" i="24"/>
  <c r="E91" i="1"/>
  <c r="D91" i="24"/>
  <c r="E104" i="1"/>
  <c r="D104" i="24"/>
  <c r="E102" i="1"/>
  <c r="D102" i="24"/>
  <c r="E25" i="1"/>
  <c r="D25" i="24"/>
  <c r="E120" i="1"/>
  <c r="D120" i="24"/>
  <c r="E15" i="1"/>
  <c r="D15" i="24"/>
  <c r="E133" i="1"/>
  <c r="D133" i="24"/>
  <c r="E66" i="1"/>
  <c r="D66" i="24"/>
  <c r="E86" i="1"/>
  <c r="D86" i="24"/>
  <c r="E60" i="1"/>
  <c r="D60" i="24"/>
  <c r="E117" i="1"/>
  <c r="D117" i="24"/>
  <c r="E69" i="1"/>
  <c r="D69" i="24"/>
  <c r="E59" i="1"/>
  <c r="D59" i="24"/>
  <c r="E35" i="1"/>
  <c r="D35" i="24"/>
  <c r="E53" i="1"/>
  <c r="D53" i="24"/>
  <c r="E11" i="1"/>
  <c r="D11" i="24"/>
  <c r="E19" i="1"/>
  <c r="D19" i="24"/>
  <c r="E55" i="1"/>
  <c r="D55" i="24"/>
  <c r="E93" i="1"/>
  <c r="D93" i="24"/>
  <c r="E87" i="1"/>
  <c r="D87" i="24"/>
  <c r="E5" i="1"/>
  <c r="D5" i="24"/>
  <c r="E13" i="1"/>
  <c r="D13" i="24"/>
  <c r="E116" i="1"/>
  <c r="D116" i="24"/>
  <c r="E22" i="1"/>
  <c r="D22" i="24"/>
  <c r="E39" i="1"/>
  <c r="D39" i="24"/>
  <c r="E42" i="1"/>
  <c r="D42" i="24"/>
  <c r="E46" i="1"/>
  <c r="D46" i="24"/>
  <c r="E79" i="1"/>
  <c r="D79" i="24"/>
  <c r="E112" i="1"/>
  <c r="D112" i="24"/>
  <c r="E52" i="1"/>
  <c r="D52" i="24"/>
  <c r="E63" i="1"/>
  <c r="D63" i="24"/>
  <c r="E32" i="1"/>
  <c r="D32" i="24"/>
  <c r="E41" i="1"/>
  <c r="D41" i="24"/>
  <c r="E3" i="1"/>
  <c r="D3" i="24"/>
  <c r="E77" i="1"/>
  <c r="D77" i="24"/>
  <c r="E119" i="1"/>
  <c r="D119" i="24"/>
  <c r="E130" i="1"/>
  <c r="D130" i="24"/>
  <c r="E17" i="1"/>
  <c r="D17" i="24"/>
  <c r="E10" i="1"/>
  <c r="D10" i="24"/>
  <c r="E48" i="1"/>
  <c r="D48" i="24"/>
  <c r="E88" i="1"/>
  <c r="D88" i="24"/>
  <c r="E2" i="1"/>
  <c r="D2" i="24"/>
  <c r="E84" i="1"/>
  <c r="D84" i="24"/>
  <c r="E71" i="1"/>
  <c r="D71" i="24"/>
  <c r="E95" i="1"/>
  <c r="D95" i="24"/>
  <c r="X47" i="1"/>
  <c r="Y17" i="1" s="1"/>
  <c r="E111" i="1"/>
  <c r="D111" i="24"/>
  <c r="X127" i="1"/>
  <c r="AA43" i="1" s="1"/>
  <c r="E94" i="1"/>
  <c r="D94" i="24"/>
  <c r="E49" i="1"/>
  <c r="D49" i="24"/>
  <c r="E89" i="1"/>
  <c r="D89" i="24"/>
  <c r="E4" i="1"/>
  <c r="D4" i="24"/>
  <c r="P149" i="5" l="1"/>
  <c r="G149" i="1" s="1"/>
  <c r="H149" i="1" s="1"/>
  <c r="J51" i="1" s="1"/>
  <c r="P140" i="5"/>
  <c r="H149" i="5"/>
  <c r="E149" i="24" s="1"/>
  <c r="Q149" i="5"/>
  <c r="P147" i="5"/>
  <c r="P148" i="5"/>
  <c r="P142" i="5"/>
  <c r="P145" i="5"/>
  <c r="Q145" i="5" s="1"/>
  <c r="P143" i="5"/>
  <c r="P151" i="5"/>
  <c r="P141" i="5"/>
  <c r="P150" i="5"/>
  <c r="P146" i="5"/>
  <c r="G146" i="1" s="1"/>
  <c r="H146" i="1" s="1"/>
  <c r="J50" i="1" s="1"/>
  <c r="P144" i="5"/>
  <c r="AD51" i="1"/>
  <c r="AC51" i="1"/>
  <c r="AF51" i="1" s="1"/>
  <c r="X149" i="1"/>
  <c r="Y51" i="1" s="1"/>
  <c r="AD49" i="1"/>
  <c r="AC49" i="1"/>
  <c r="AF49" i="1" s="1"/>
  <c r="X143" i="1"/>
  <c r="Y49" i="1" s="1"/>
  <c r="AD48" i="1"/>
  <c r="AC48" i="1"/>
  <c r="AF48" i="1" s="1"/>
  <c r="X140" i="1"/>
  <c r="Y48" i="1" s="1"/>
  <c r="AD50" i="1"/>
  <c r="E147" i="1"/>
  <c r="D147" i="24"/>
  <c r="X146" i="1"/>
  <c r="Y50" i="1" s="1"/>
  <c r="AG47" i="1"/>
  <c r="P138" i="5"/>
  <c r="H138" i="5" s="1"/>
  <c r="E138" i="24" s="1"/>
  <c r="P137" i="5"/>
  <c r="G137" i="1" s="1"/>
  <c r="AE47" i="1"/>
  <c r="AH47" i="1" s="1"/>
  <c r="AF47" i="1"/>
  <c r="P134" i="5"/>
  <c r="H134" i="5" s="1"/>
  <c r="E134" i="24" s="1"/>
  <c r="P135" i="5"/>
  <c r="H135" i="5" s="1"/>
  <c r="E135" i="24" s="1"/>
  <c r="AD46" i="1"/>
  <c r="AG46" i="1" s="1"/>
  <c r="AC46" i="1"/>
  <c r="AF46" i="1" s="1"/>
  <c r="P136" i="5"/>
  <c r="H136" i="5" s="1"/>
  <c r="E136" i="24" s="1"/>
  <c r="P139" i="5"/>
  <c r="AB46" i="1"/>
  <c r="AE46" i="1" s="1"/>
  <c r="AH46" i="1" s="1"/>
  <c r="N17" i="6"/>
  <c r="Q17" i="6" s="1"/>
  <c r="P24" i="6"/>
  <c r="L27" i="6" s="1"/>
  <c r="P17" i="6"/>
  <c r="P88" i="5"/>
  <c r="G88" i="1" s="1"/>
  <c r="H88" i="1" s="1"/>
  <c r="L30" i="1" s="1"/>
  <c r="AK4" i="1"/>
  <c r="AK20" i="1"/>
  <c r="AK44" i="1"/>
  <c r="AK16" i="1"/>
  <c r="AK10" i="1"/>
  <c r="AK23" i="1"/>
  <c r="AK26" i="1"/>
  <c r="AK32" i="1"/>
  <c r="AK45" i="1"/>
  <c r="AK7" i="1"/>
  <c r="AK28" i="1"/>
  <c r="AK8" i="1"/>
  <c r="AK31" i="1"/>
  <c r="AK19" i="1"/>
  <c r="AK15" i="1"/>
  <c r="AK5" i="1"/>
  <c r="AK12" i="1"/>
  <c r="AK18" i="1"/>
  <c r="AK27" i="1"/>
  <c r="AK29" i="1"/>
  <c r="AK3" i="1"/>
  <c r="AK40" i="1"/>
  <c r="AK25" i="1"/>
  <c r="AK9" i="1"/>
  <c r="AK30" i="1"/>
  <c r="AK37" i="1"/>
  <c r="AK41" i="1"/>
  <c r="AK17" i="1"/>
  <c r="AK35" i="1"/>
  <c r="AK13" i="1"/>
  <c r="AK22" i="1"/>
  <c r="AK38" i="1"/>
  <c r="AK33" i="1"/>
  <c r="AK6" i="1"/>
  <c r="AK39" i="1"/>
  <c r="AK24" i="1"/>
  <c r="AK34" i="1"/>
  <c r="AK14" i="1"/>
  <c r="AK11" i="1"/>
  <c r="AK42" i="1"/>
  <c r="AK36" i="1"/>
  <c r="AK21" i="1"/>
  <c r="P99" i="5"/>
  <c r="H99" i="5" s="1"/>
  <c r="E99" i="24" s="1"/>
  <c r="P27" i="5"/>
  <c r="G27" i="1" s="1"/>
  <c r="H27" i="1" s="1"/>
  <c r="K10" i="1" s="1"/>
  <c r="P87" i="5"/>
  <c r="G87" i="1" s="1"/>
  <c r="H87" i="1" s="1"/>
  <c r="K30" i="1" s="1"/>
  <c r="P107" i="5"/>
  <c r="G107" i="1" s="1"/>
  <c r="P86" i="5"/>
  <c r="G86" i="1" s="1"/>
  <c r="P108" i="5"/>
  <c r="G108" i="1" s="1"/>
  <c r="H108" i="1" s="1"/>
  <c r="K37" i="1" s="1"/>
  <c r="P51" i="5"/>
  <c r="G51" i="1" s="1"/>
  <c r="H51" i="1" s="1"/>
  <c r="K18" i="1" s="1"/>
  <c r="P65" i="5"/>
  <c r="G65" i="1" s="1"/>
  <c r="P113" i="5"/>
  <c r="G113" i="1" s="1"/>
  <c r="P109" i="5"/>
  <c r="Q109" i="5" s="1"/>
  <c r="P13" i="5"/>
  <c r="G13" i="1" s="1"/>
  <c r="H13" i="1" s="1"/>
  <c r="L5" i="1" s="1"/>
  <c r="P12" i="5"/>
  <c r="G12" i="1" s="1"/>
  <c r="H12" i="1" s="1"/>
  <c r="K5" i="1" s="1"/>
  <c r="P70" i="5"/>
  <c r="Q70" i="5" s="1"/>
  <c r="P20" i="5"/>
  <c r="G20" i="1" s="1"/>
  <c r="P17" i="5"/>
  <c r="G17" i="1" s="1"/>
  <c r="P62" i="5"/>
  <c r="G62" i="1" s="1"/>
  <c r="P49" i="5"/>
  <c r="G49" i="1" s="1"/>
  <c r="H49" i="1" s="1"/>
  <c r="L17" i="1" s="1"/>
  <c r="P55" i="5"/>
  <c r="G55" i="1" s="1"/>
  <c r="H55" i="1" s="1"/>
  <c r="P19" i="5"/>
  <c r="G19" i="1" s="1"/>
  <c r="H19" i="1" s="1"/>
  <c r="P67" i="5"/>
  <c r="G67" i="1" s="1"/>
  <c r="H67" i="1" s="1"/>
  <c r="L23" i="1" s="1"/>
  <c r="P133" i="5"/>
  <c r="G133" i="1" s="1"/>
  <c r="H133" i="1" s="1"/>
  <c r="L45" i="1" s="1"/>
  <c r="P8" i="5"/>
  <c r="G8" i="1" s="1"/>
  <c r="P71" i="5"/>
  <c r="G71" i="1" s="1"/>
  <c r="P80" i="5"/>
  <c r="G80" i="1" s="1"/>
  <c r="P114" i="5"/>
  <c r="G114" i="1" s="1"/>
  <c r="H114" i="1" s="1"/>
  <c r="P44" i="5"/>
  <c r="G44" i="1" s="1"/>
  <c r="P54" i="5"/>
  <c r="G54" i="1" s="1"/>
  <c r="H54" i="1" s="1"/>
  <c r="K19" i="1" s="1"/>
  <c r="P129" i="5"/>
  <c r="G129" i="1" s="1"/>
  <c r="H129" i="1" s="1"/>
  <c r="K44" i="1" s="1"/>
  <c r="P30" i="5"/>
  <c r="Q30" i="5" s="1"/>
  <c r="P110" i="5"/>
  <c r="G110" i="1" s="1"/>
  <c r="P125" i="5"/>
  <c r="Q125" i="5" s="1"/>
  <c r="P25" i="5"/>
  <c r="Q25" i="5" s="1"/>
  <c r="P26" i="5"/>
  <c r="G26" i="1" s="1"/>
  <c r="P73" i="5"/>
  <c r="G73" i="1" s="1"/>
  <c r="H73" i="1" s="1"/>
  <c r="L25" i="1" s="1"/>
  <c r="P3" i="5"/>
  <c r="G3" i="1" s="1"/>
  <c r="H3" i="1" s="1"/>
  <c r="K2" i="1" s="1"/>
  <c r="P57" i="5"/>
  <c r="G57" i="1" s="1"/>
  <c r="H57" i="1" s="1"/>
  <c r="K20" i="1" s="1"/>
  <c r="N20" i="1" s="1"/>
  <c r="P84" i="5"/>
  <c r="G84" i="1" s="1"/>
  <c r="H84" i="1" s="1"/>
  <c r="K29" i="1" s="1"/>
  <c r="P41" i="5"/>
  <c r="G41" i="1" s="1"/>
  <c r="P121" i="5"/>
  <c r="Q121" i="5" s="1"/>
  <c r="P2" i="5"/>
  <c r="G2" i="1" s="1"/>
  <c r="P122" i="5"/>
  <c r="G122" i="1" s="1"/>
  <c r="P16" i="5"/>
  <c r="G16" i="1" s="1"/>
  <c r="H16" i="1" s="1"/>
  <c r="L6" i="1" s="1"/>
  <c r="P43" i="5"/>
  <c r="Q43" i="5" s="1"/>
  <c r="P130" i="5"/>
  <c r="G130" i="1" s="1"/>
  <c r="H130" i="1" s="1"/>
  <c r="L44" i="1" s="1"/>
  <c r="P124" i="5"/>
  <c r="G124" i="1" s="1"/>
  <c r="H124" i="1" s="1"/>
  <c r="L42" i="1" s="1"/>
  <c r="P72" i="5"/>
  <c r="Q72" i="5" s="1"/>
  <c r="P58" i="5"/>
  <c r="Q58" i="5" s="1"/>
  <c r="P101" i="5"/>
  <c r="G101" i="1" s="1"/>
  <c r="P11" i="5"/>
  <c r="G11" i="1" s="1"/>
  <c r="P90" i="5"/>
  <c r="G90" i="1" s="1"/>
  <c r="H90" i="1" s="1"/>
  <c r="K31" i="1" s="1"/>
  <c r="P33" i="5"/>
  <c r="G33" i="1" s="1"/>
  <c r="H33" i="1" s="1"/>
  <c r="K12" i="1" s="1"/>
  <c r="P75" i="5"/>
  <c r="G75" i="1" s="1"/>
  <c r="H75" i="1" s="1"/>
  <c r="K26" i="1" s="1"/>
  <c r="P18" i="5"/>
  <c r="P100" i="5"/>
  <c r="G100" i="1" s="1"/>
  <c r="H100" i="1" s="1"/>
  <c r="L34" i="1" s="1"/>
  <c r="P128" i="5"/>
  <c r="G128" i="1" s="1"/>
  <c r="P103" i="5"/>
  <c r="G103" i="1" s="1"/>
  <c r="H103" i="1" s="1"/>
  <c r="L35" i="1" s="1"/>
  <c r="P117" i="5"/>
  <c r="G117" i="1" s="1"/>
  <c r="H117" i="1" s="1"/>
  <c r="K40" i="1" s="1"/>
  <c r="P37" i="5"/>
  <c r="G37" i="1" s="1"/>
  <c r="H37" i="1" s="1"/>
  <c r="L13" i="1" s="1"/>
  <c r="P112" i="5"/>
  <c r="G112" i="1" s="1"/>
  <c r="H112" i="1" s="1"/>
  <c r="L38" i="1" s="1"/>
  <c r="P98" i="5"/>
  <c r="Q98" i="5" s="1"/>
  <c r="P50" i="5"/>
  <c r="G50" i="1" s="1"/>
  <c r="P82" i="5"/>
  <c r="G82" i="1" s="1"/>
  <c r="H82" i="1" s="1"/>
  <c r="P63" i="5"/>
  <c r="G63" i="1" s="1"/>
  <c r="H63" i="1" s="1"/>
  <c r="K22" i="1" s="1"/>
  <c r="P97" i="5"/>
  <c r="G97" i="1" s="1"/>
  <c r="H97" i="1" s="1"/>
  <c r="L33" i="1" s="1"/>
  <c r="P34" i="5"/>
  <c r="G34" i="1" s="1"/>
  <c r="H34" i="1" s="1"/>
  <c r="L12" i="1" s="1"/>
  <c r="P36" i="5"/>
  <c r="G36" i="1" s="1"/>
  <c r="H36" i="1" s="1"/>
  <c r="K13" i="1" s="1"/>
  <c r="P39" i="5"/>
  <c r="G39" i="1" s="1"/>
  <c r="H39" i="1" s="1"/>
  <c r="P61" i="5"/>
  <c r="G61" i="1" s="1"/>
  <c r="H61" i="1" s="1"/>
  <c r="L21" i="1" s="1"/>
  <c r="P59" i="5"/>
  <c r="G59" i="1" s="1"/>
  <c r="P64" i="5"/>
  <c r="G64" i="1" s="1"/>
  <c r="H64" i="1" s="1"/>
  <c r="L22" i="1" s="1"/>
  <c r="P78" i="5"/>
  <c r="G78" i="1" s="1"/>
  <c r="H78" i="1" s="1"/>
  <c r="K27" i="1" s="1"/>
  <c r="P35" i="5"/>
  <c r="G35" i="1" s="1"/>
  <c r="P52" i="5"/>
  <c r="G52" i="1" s="1"/>
  <c r="H52" i="1" s="1"/>
  <c r="L18" i="1" s="1"/>
  <c r="P118" i="5"/>
  <c r="G118" i="1" s="1"/>
  <c r="H118" i="1" s="1"/>
  <c r="L40" i="1" s="1"/>
  <c r="P28" i="5"/>
  <c r="G28" i="1" s="1"/>
  <c r="H28" i="1" s="1"/>
  <c r="L10" i="1" s="1"/>
  <c r="P56" i="5"/>
  <c r="G56" i="1" s="1"/>
  <c r="P24" i="5"/>
  <c r="H24" i="5" s="1"/>
  <c r="E24" i="24" s="1"/>
  <c r="P5" i="5"/>
  <c r="G5" i="1" s="1"/>
  <c r="P48" i="5"/>
  <c r="G48" i="1" s="1"/>
  <c r="H48" i="1" s="1"/>
  <c r="P81" i="5"/>
  <c r="H81" i="5" s="1"/>
  <c r="E81" i="24" s="1"/>
  <c r="P93" i="5"/>
  <c r="G93" i="1" s="1"/>
  <c r="H93" i="1" s="1"/>
  <c r="K32" i="1" s="1"/>
  <c r="P40" i="5"/>
  <c r="G40" i="1" s="1"/>
  <c r="H40" i="1" s="1"/>
  <c r="L14" i="1" s="1"/>
  <c r="P92" i="5"/>
  <c r="G92" i="1" s="1"/>
  <c r="P116" i="5"/>
  <c r="G116" i="1" s="1"/>
  <c r="P96" i="5"/>
  <c r="G96" i="1" s="1"/>
  <c r="H96" i="1" s="1"/>
  <c r="K33" i="1" s="1"/>
  <c r="P47" i="5"/>
  <c r="G47" i="1" s="1"/>
  <c r="P89" i="5"/>
  <c r="G89" i="1" s="1"/>
  <c r="P83" i="5"/>
  <c r="Q83" i="5" s="1"/>
  <c r="P46" i="5"/>
  <c r="G46" i="1" s="1"/>
  <c r="H46" i="1" s="1"/>
  <c r="L16" i="1" s="1"/>
  <c r="P119" i="5"/>
  <c r="G119" i="1" s="1"/>
  <c r="P105" i="5"/>
  <c r="G105" i="1" s="1"/>
  <c r="H105" i="1" s="1"/>
  <c r="K36" i="1" s="1"/>
  <c r="P94" i="5"/>
  <c r="G94" i="1" s="1"/>
  <c r="H94" i="1" s="1"/>
  <c r="L32" i="1" s="1"/>
  <c r="P10" i="5"/>
  <c r="G10" i="1" s="1"/>
  <c r="H10" i="1" s="1"/>
  <c r="L4" i="1" s="1"/>
  <c r="P60" i="5"/>
  <c r="G60" i="1" s="1"/>
  <c r="H60" i="1" s="1"/>
  <c r="K21" i="1" s="1"/>
  <c r="P120" i="5"/>
  <c r="G120" i="1" s="1"/>
  <c r="H120" i="1" s="1"/>
  <c r="K41" i="1" s="1"/>
  <c r="P15" i="5"/>
  <c r="G15" i="1" s="1"/>
  <c r="H15" i="1" s="1"/>
  <c r="P22" i="5"/>
  <c r="G22" i="1" s="1"/>
  <c r="H22" i="1" s="1"/>
  <c r="L8" i="1" s="1"/>
  <c r="P21" i="5"/>
  <c r="G21" i="1" s="1"/>
  <c r="H21" i="1" s="1"/>
  <c r="K8" i="1" s="1"/>
  <c r="P53" i="5"/>
  <c r="Q53" i="5" s="1"/>
  <c r="P7" i="5"/>
  <c r="G7" i="1" s="1"/>
  <c r="H7" i="1" s="1"/>
  <c r="L3" i="1" s="1"/>
  <c r="P29" i="5"/>
  <c r="Q29" i="5" s="1"/>
  <c r="P115" i="5"/>
  <c r="H115" i="5" s="1"/>
  <c r="E115" i="24" s="1"/>
  <c r="P102" i="5"/>
  <c r="H102" i="5" s="1"/>
  <c r="E102" i="24" s="1"/>
  <c r="P123" i="5"/>
  <c r="G123" i="1" s="1"/>
  <c r="H123" i="1" s="1"/>
  <c r="K42" i="1" s="1"/>
  <c r="P85" i="5"/>
  <c r="G85" i="1" s="1"/>
  <c r="H85" i="1" s="1"/>
  <c r="L29" i="1" s="1"/>
  <c r="P9" i="5"/>
  <c r="G9" i="1" s="1"/>
  <c r="H9" i="1" s="1"/>
  <c r="K4" i="1" s="1"/>
  <c r="P38" i="5"/>
  <c r="G38" i="1" s="1"/>
  <c r="P132" i="5"/>
  <c r="G132" i="1" s="1"/>
  <c r="H132" i="1" s="1"/>
  <c r="K45" i="1" s="1"/>
  <c r="P111" i="5"/>
  <c r="G111" i="1" s="1"/>
  <c r="H111" i="1" s="1"/>
  <c r="P131" i="5"/>
  <c r="G131" i="1" s="1"/>
  <c r="P4" i="5"/>
  <c r="G4" i="1" s="1"/>
  <c r="H4" i="1" s="1"/>
  <c r="L2" i="1" s="1"/>
  <c r="P42" i="5"/>
  <c r="G42" i="1" s="1"/>
  <c r="H42" i="1" s="1"/>
  <c r="K15" i="1" s="1"/>
  <c r="P76" i="5"/>
  <c r="G76" i="1" s="1"/>
  <c r="H76" i="1" s="1"/>
  <c r="L26" i="1" s="1"/>
  <c r="P126" i="5"/>
  <c r="G126" i="1" s="1"/>
  <c r="H126" i="1" s="1"/>
  <c r="P95" i="5"/>
  <c r="G95" i="1" s="1"/>
  <c r="P127" i="5"/>
  <c r="H127" i="5" s="1"/>
  <c r="E127" i="24" s="1"/>
  <c r="P32" i="5"/>
  <c r="G32" i="1" s="1"/>
  <c r="P23" i="5"/>
  <c r="G23" i="1" s="1"/>
  <c r="P6" i="5"/>
  <c r="G6" i="1" s="1"/>
  <c r="H6" i="1" s="1"/>
  <c r="K3" i="1" s="1"/>
  <c r="P74" i="5"/>
  <c r="G74" i="1" s="1"/>
  <c r="P66" i="5"/>
  <c r="G66" i="1" s="1"/>
  <c r="H66" i="1" s="1"/>
  <c r="K23" i="1" s="1"/>
  <c r="P69" i="5"/>
  <c r="G69" i="1" s="1"/>
  <c r="H69" i="1" s="1"/>
  <c r="P106" i="5"/>
  <c r="G106" i="1" s="1"/>
  <c r="H106" i="1" s="1"/>
  <c r="L36" i="1" s="1"/>
  <c r="P91" i="5"/>
  <c r="G91" i="1" s="1"/>
  <c r="H91" i="1" s="1"/>
  <c r="L31" i="1" s="1"/>
  <c r="P14" i="5"/>
  <c r="G14" i="1" s="1"/>
  <c r="P68" i="5"/>
  <c r="H68" i="5" s="1"/>
  <c r="E68" i="24" s="1"/>
  <c r="P45" i="5"/>
  <c r="G45" i="1" s="1"/>
  <c r="H45" i="1" s="1"/>
  <c r="K16" i="1" s="1"/>
  <c r="P77" i="5"/>
  <c r="G77" i="1" s="1"/>
  <c r="P104" i="5"/>
  <c r="G104" i="1" s="1"/>
  <c r="P31" i="5"/>
  <c r="G31" i="1" s="1"/>
  <c r="H31" i="1" s="1"/>
  <c r="L11" i="1" s="1"/>
  <c r="P79" i="5"/>
  <c r="G79" i="1" s="1"/>
  <c r="H79" i="1" s="1"/>
  <c r="L27" i="1" s="1"/>
  <c r="O31" i="6"/>
  <c r="L34" i="6" s="1"/>
  <c r="L6" i="6"/>
  <c r="AF39" i="1"/>
  <c r="AG34" i="1"/>
  <c r="AG20" i="1"/>
  <c r="AF34" i="1"/>
  <c r="AF20" i="1"/>
  <c r="AE20" i="1"/>
  <c r="AH20" i="1" s="1"/>
  <c r="O5" i="55"/>
  <c r="R5" i="55" s="1"/>
  <c r="O19" i="55"/>
  <c r="Q40" i="55"/>
  <c r="O40" i="55"/>
  <c r="S40" i="55"/>
  <c r="O26" i="55"/>
  <c r="R26" i="55" s="1"/>
  <c r="Q12" i="55"/>
  <c r="O12" i="55"/>
  <c r="R12" i="55" s="1"/>
  <c r="S12" i="55"/>
  <c r="O33" i="55"/>
  <c r="R33" i="55" s="1"/>
  <c r="S33" i="55"/>
  <c r="Q33" i="55"/>
  <c r="O47" i="55"/>
  <c r="X113" i="1"/>
  <c r="Y39" i="1" s="1"/>
  <c r="AE34" i="1"/>
  <c r="AH34" i="1" s="1"/>
  <c r="P26" i="55"/>
  <c r="S26" i="55" s="1"/>
  <c r="M26" i="55"/>
  <c r="Q26" i="55" s="1"/>
  <c r="M19" i="55"/>
  <c r="Q19" i="55" s="1"/>
  <c r="P47" i="55"/>
  <c r="S47" i="55" s="1"/>
  <c r="M47" i="55"/>
  <c r="Q47" i="55" s="1"/>
  <c r="M5" i="55"/>
  <c r="Q5" i="55" s="1"/>
  <c r="M40" i="55"/>
  <c r="M12" i="55"/>
  <c r="M33" i="55"/>
  <c r="P33" i="55"/>
  <c r="AB6" i="1"/>
  <c r="X133" i="1"/>
  <c r="AA45" i="1" s="1"/>
  <c r="X51" i="1"/>
  <c r="Z18" i="1" s="1"/>
  <c r="L26" i="55"/>
  <c r="X92" i="1"/>
  <c r="Y32" i="1" s="1"/>
  <c r="X129" i="1"/>
  <c r="Z44" i="1" s="1"/>
  <c r="X94" i="1"/>
  <c r="AA32" i="1" s="1"/>
  <c r="AD43" i="1"/>
  <c r="AG43" i="1" s="1"/>
  <c r="X88" i="1"/>
  <c r="AA30" i="1" s="1"/>
  <c r="X48" i="1"/>
  <c r="Z17" i="1" s="1"/>
  <c r="X79" i="1"/>
  <c r="AA27" i="1" s="1"/>
  <c r="X116" i="1"/>
  <c r="Y40" i="1" s="1"/>
  <c r="X93" i="1"/>
  <c r="Z32" i="1" s="1"/>
  <c r="X59" i="1"/>
  <c r="Y21" i="1" s="1"/>
  <c r="X104" i="1"/>
  <c r="Y36" i="1" s="1"/>
  <c r="X40" i="1"/>
  <c r="AA14" i="1" s="1"/>
  <c r="X12" i="1"/>
  <c r="Z5" i="1" s="1"/>
  <c r="X62" i="1"/>
  <c r="Y22" i="1" s="1"/>
  <c r="X36" i="1"/>
  <c r="Z13" i="1" s="1"/>
  <c r="X118" i="1"/>
  <c r="AA40" i="1" s="1"/>
  <c r="R47" i="55"/>
  <c r="L47" i="55"/>
  <c r="X106" i="1"/>
  <c r="AA36" i="1" s="1"/>
  <c r="X128" i="1"/>
  <c r="Y44" i="1" s="1"/>
  <c r="X26" i="1"/>
  <c r="Y10" i="1" s="1"/>
  <c r="X30" i="1"/>
  <c r="Z11" i="1" s="1"/>
  <c r="X82" i="1"/>
  <c r="AA28" i="1" s="1"/>
  <c r="X130" i="1"/>
  <c r="AA44" i="1" s="1"/>
  <c r="X77" i="1"/>
  <c r="Y27" i="1" s="1"/>
  <c r="X60" i="1"/>
  <c r="Z21" i="1" s="1"/>
  <c r="X65" i="1"/>
  <c r="Y23" i="1" s="1"/>
  <c r="X105" i="1"/>
  <c r="Z36" i="1" s="1"/>
  <c r="X101" i="1"/>
  <c r="Y35" i="1" s="1"/>
  <c r="L40" i="55"/>
  <c r="R40" i="55"/>
  <c r="X96" i="1"/>
  <c r="Z33" i="1" s="1"/>
  <c r="X124" i="1"/>
  <c r="AA42" i="1" s="1"/>
  <c r="X37" i="1"/>
  <c r="AA13" i="1" s="1"/>
  <c r="AC28" i="1"/>
  <c r="X6" i="1"/>
  <c r="Z3" i="1" s="1"/>
  <c r="X54" i="1"/>
  <c r="Z19" i="1" s="1"/>
  <c r="X52" i="1"/>
  <c r="AA18" i="1" s="1"/>
  <c r="X111" i="1"/>
  <c r="Z38" i="1" s="1"/>
  <c r="X95" i="1"/>
  <c r="Y33" i="1" s="1"/>
  <c r="X46" i="1"/>
  <c r="AA16" i="1" s="1"/>
  <c r="X39" i="1"/>
  <c r="Z14" i="1" s="1"/>
  <c r="X13" i="1"/>
  <c r="AA5" i="1" s="1"/>
  <c r="X55" i="1"/>
  <c r="AA19" i="1" s="1"/>
  <c r="X11" i="1"/>
  <c r="Y5" i="1" s="1"/>
  <c r="X15" i="1"/>
  <c r="Z6" i="1" s="1"/>
  <c r="X25" i="1"/>
  <c r="AA9" i="1" s="1"/>
  <c r="X91" i="1"/>
  <c r="AA31" i="1" s="1"/>
  <c r="X16" i="1"/>
  <c r="AA6" i="1" s="1"/>
  <c r="X20" i="1"/>
  <c r="Y8" i="1" s="1"/>
  <c r="X75" i="1"/>
  <c r="Z26" i="1" s="1"/>
  <c r="L33" i="55"/>
  <c r="X74" i="1"/>
  <c r="Y26" i="1" s="1"/>
  <c r="X107" i="1"/>
  <c r="Y37" i="1" s="1"/>
  <c r="X131" i="1"/>
  <c r="Y45" i="1" s="1"/>
  <c r="X64" i="1"/>
  <c r="AA22" i="1" s="1"/>
  <c r="X123" i="1"/>
  <c r="Z42" i="1" s="1"/>
  <c r="X41" i="1"/>
  <c r="Y15" i="1" s="1"/>
  <c r="X71" i="1"/>
  <c r="Y25" i="1" s="1"/>
  <c r="X119" i="1"/>
  <c r="Y41" i="1" s="1"/>
  <c r="X3" i="1"/>
  <c r="Z2" i="1" s="1"/>
  <c r="X32" i="1"/>
  <c r="Y12" i="1" s="1"/>
  <c r="X31" i="1"/>
  <c r="AA11" i="1" s="1"/>
  <c r="X108" i="1"/>
  <c r="Z37" i="1" s="1"/>
  <c r="X17" i="1"/>
  <c r="Y7" i="1" s="1"/>
  <c r="X4" i="1"/>
  <c r="AA2" i="1" s="1"/>
  <c r="X2" i="1"/>
  <c r="Y2" i="1" s="1"/>
  <c r="X10" i="1"/>
  <c r="AA4" i="1" s="1"/>
  <c r="X112" i="1"/>
  <c r="AA38" i="1" s="1"/>
  <c r="X42" i="1"/>
  <c r="Z15" i="1" s="1"/>
  <c r="X5" i="1"/>
  <c r="Y3" i="1" s="1"/>
  <c r="X19" i="1"/>
  <c r="AA7" i="1" s="1"/>
  <c r="X53" i="1"/>
  <c r="Y19" i="1" s="1"/>
  <c r="X69" i="1"/>
  <c r="Z24" i="1" s="1"/>
  <c r="X117" i="1"/>
  <c r="Z40" i="1" s="1"/>
  <c r="X120" i="1"/>
  <c r="Z41" i="1" s="1"/>
  <c r="X102" i="1"/>
  <c r="Z35" i="1" s="1"/>
  <c r="X121" i="1"/>
  <c r="AA41" i="1" s="1"/>
  <c r="X34" i="1"/>
  <c r="AA12" i="1" s="1"/>
  <c r="X103" i="1"/>
  <c r="AA35" i="1" s="1"/>
  <c r="X90" i="1"/>
  <c r="Z31" i="1" s="1"/>
  <c r="AB24" i="1"/>
  <c r="X24" i="1"/>
  <c r="Z9" i="1" s="1"/>
  <c r="X85" i="1"/>
  <c r="AA29" i="1" s="1"/>
  <c r="L12" i="55"/>
  <c r="X29" i="1"/>
  <c r="Y11" i="1" s="1"/>
  <c r="X78" i="1"/>
  <c r="Z27" i="1" s="1"/>
  <c r="X97" i="1"/>
  <c r="AA33" i="1" s="1"/>
  <c r="X33" i="1"/>
  <c r="Z12" i="1" s="1"/>
  <c r="X72" i="1"/>
  <c r="Z25" i="1" s="1"/>
  <c r="X61" i="1"/>
  <c r="AA21" i="1" s="1"/>
  <c r="X7" i="1"/>
  <c r="AA3" i="1" s="1"/>
  <c r="X109" i="1"/>
  <c r="AA37" i="1" s="1"/>
  <c r="X67" i="1"/>
  <c r="AA23" i="1" s="1"/>
  <c r="AB17" i="1"/>
  <c r="X84" i="1"/>
  <c r="Z29" i="1" s="1"/>
  <c r="X63" i="1"/>
  <c r="Z22" i="1" s="1"/>
  <c r="X66" i="1"/>
  <c r="Z23" i="1" s="1"/>
  <c r="L19" i="55"/>
  <c r="R19" i="55"/>
  <c r="X80" i="1"/>
  <c r="Y28" i="1" s="1"/>
  <c r="X28" i="1"/>
  <c r="AA10" i="1" s="1"/>
  <c r="X43" i="1"/>
  <c r="AA15" i="1" s="1"/>
  <c r="X23" i="1"/>
  <c r="Y9" i="1" s="1"/>
  <c r="X21" i="1"/>
  <c r="Z8" i="1" s="1"/>
  <c r="AC16" i="1"/>
  <c r="X89" i="1"/>
  <c r="Y31" i="1" s="1"/>
  <c r="X49" i="1"/>
  <c r="AA17" i="1" s="1"/>
  <c r="X22" i="1"/>
  <c r="AA8" i="1" s="1"/>
  <c r="X87" i="1"/>
  <c r="Z30" i="1" s="1"/>
  <c r="X35" i="1"/>
  <c r="Y13" i="1" s="1"/>
  <c r="X86" i="1"/>
  <c r="Y30" i="1" s="1"/>
  <c r="X73" i="1"/>
  <c r="AA25" i="1" s="1"/>
  <c r="AD26" i="1"/>
  <c r="X132" i="1"/>
  <c r="Z45" i="1" s="1"/>
  <c r="AC10" i="1"/>
  <c r="X44" i="1"/>
  <c r="Y16" i="1" s="1"/>
  <c r="L5" i="55"/>
  <c r="X126" i="1"/>
  <c r="Z43" i="1" s="1"/>
  <c r="X122" i="1"/>
  <c r="Y42" i="1" s="1"/>
  <c r="X70" i="1"/>
  <c r="AA24" i="1" s="1"/>
  <c r="X9" i="1"/>
  <c r="Z4" i="1" s="1"/>
  <c r="X50" i="1"/>
  <c r="Y18" i="1" s="1"/>
  <c r="X8" i="1"/>
  <c r="Y4" i="1" s="1"/>
  <c r="Q140" i="5" l="1"/>
  <c r="H140" i="5"/>
  <c r="E140" i="24" s="1"/>
  <c r="G140" i="1"/>
  <c r="H140" i="1" s="1"/>
  <c r="J48" i="1" s="1"/>
  <c r="M48" i="1" s="1"/>
  <c r="Q141" i="5"/>
  <c r="H141" i="5"/>
  <c r="E141" i="24" s="1"/>
  <c r="G141" i="1"/>
  <c r="H141" i="1" s="1"/>
  <c r="K48" i="1" s="1"/>
  <c r="N48" i="1" s="1"/>
  <c r="G145" i="1"/>
  <c r="H145" i="1" s="1"/>
  <c r="L49" i="1" s="1"/>
  <c r="O49" i="1" s="1"/>
  <c r="H145" i="5"/>
  <c r="E145" i="24" s="1"/>
  <c r="Q142" i="5"/>
  <c r="G142" i="1"/>
  <c r="H142" i="5"/>
  <c r="E142" i="24" s="1"/>
  <c r="Q151" i="5"/>
  <c r="H151" i="5"/>
  <c r="E151" i="24" s="1"/>
  <c r="G151" i="1"/>
  <c r="H151" i="1" s="1"/>
  <c r="L51" i="1" s="1"/>
  <c r="O51" i="1" s="1"/>
  <c r="R51" i="1" s="1"/>
  <c r="Q147" i="5"/>
  <c r="G147" i="1"/>
  <c r="H147" i="5"/>
  <c r="E147" i="24" s="1"/>
  <c r="Q148" i="5"/>
  <c r="G148" i="1"/>
  <c r="H148" i="1" s="1"/>
  <c r="L50" i="1" s="1"/>
  <c r="O50" i="1" s="1"/>
  <c r="R50" i="1" s="1"/>
  <c r="H148" i="5"/>
  <c r="E148" i="24" s="1"/>
  <c r="Q146" i="5"/>
  <c r="H146" i="5"/>
  <c r="E146" i="24" s="1"/>
  <c r="H143" i="5"/>
  <c r="E143" i="24" s="1"/>
  <c r="Q143" i="5"/>
  <c r="G143" i="1"/>
  <c r="H143" i="1" s="1"/>
  <c r="J49" i="1" s="1"/>
  <c r="G150" i="1"/>
  <c r="H150" i="5"/>
  <c r="E150" i="24" s="1"/>
  <c r="Q150" i="5"/>
  <c r="G144" i="1"/>
  <c r="H144" i="5"/>
  <c r="E144" i="24" s="1"/>
  <c r="Q144" i="5"/>
  <c r="M51" i="1"/>
  <c r="AG51" i="1"/>
  <c r="AB51" i="1"/>
  <c r="AE51" i="1" s="1"/>
  <c r="M49" i="1"/>
  <c r="AG49" i="1"/>
  <c r="AB49" i="1"/>
  <c r="AE49" i="1" s="1"/>
  <c r="AG48" i="1"/>
  <c r="AB48" i="1"/>
  <c r="AE48" i="1" s="1"/>
  <c r="X147" i="1"/>
  <c r="Z50" i="1" s="1"/>
  <c r="M50" i="1"/>
  <c r="AB50" i="1"/>
  <c r="AG50" i="1"/>
  <c r="H137" i="1"/>
  <c r="J47" i="1" s="1"/>
  <c r="M47" i="1" s="1"/>
  <c r="Q138" i="5"/>
  <c r="G138" i="1"/>
  <c r="H138" i="1" s="1"/>
  <c r="K47" i="1" s="1"/>
  <c r="N47" i="1" s="1"/>
  <c r="Q137" i="5"/>
  <c r="H137" i="5"/>
  <c r="E137" i="24" s="1"/>
  <c r="AI47" i="1"/>
  <c r="J137" i="5" s="1"/>
  <c r="G137" i="24" s="1"/>
  <c r="G134" i="1"/>
  <c r="H134" i="1" s="1"/>
  <c r="J46" i="1" s="1"/>
  <c r="Q134" i="5"/>
  <c r="G135" i="1"/>
  <c r="H135" i="1" s="1"/>
  <c r="K46" i="1" s="1"/>
  <c r="N46" i="1" s="1"/>
  <c r="G136" i="1"/>
  <c r="H136" i="1" s="1"/>
  <c r="L46" i="1" s="1"/>
  <c r="O46" i="1" s="1"/>
  <c r="Q135" i="5"/>
  <c r="Q136" i="5"/>
  <c r="H139" i="5"/>
  <c r="E139" i="24" s="1"/>
  <c r="G139" i="1"/>
  <c r="H139" i="1" s="1"/>
  <c r="L47" i="1" s="1"/>
  <c r="O47" i="1" s="1"/>
  <c r="Q139" i="5"/>
  <c r="AI46" i="1"/>
  <c r="J134" i="5" s="1"/>
  <c r="G134" i="24" s="1"/>
  <c r="G18" i="1"/>
  <c r="H18" i="1" s="1"/>
  <c r="K7" i="1" s="1"/>
  <c r="N7" i="1" s="1"/>
  <c r="H18" i="5"/>
  <c r="E18" i="24" s="1"/>
  <c r="H88" i="5"/>
  <c r="E88" i="24" s="1"/>
  <c r="L20" i="6"/>
  <c r="Q88" i="5"/>
  <c r="H116" i="1"/>
  <c r="J40" i="1" s="1"/>
  <c r="U40" i="1"/>
  <c r="H11" i="1"/>
  <c r="J5" i="1" s="1"/>
  <c r="U5" i="1"/>
  <c r="H122" i="1"/>
  <c r="J42" i="1" s="1"/>
  <c r="M42" i="1" s="1"/>
  <c r="U42" i="1"/>
  <c r="H14" i="1"/>
  <c r="J6" i="1" s="1"/>
  <c r="M6" i="1" s="1"/>
  <c r="U6" i="1"/>
  <c r="H23" i="1"/>
  <c r="J9" i="1" s="1"/>
  <c r="M9" i="1" s="1"/>
  <c r="H119" i="1"/>
  <c r="J41" i="1" s="1"/>
  <c r="H92" i="1"/>
  <c r="J32" i="1" s="1"/>
  <c r="U32" i="1"/>
  <c r="H128" i="1"/>
  <c r="J44" i="1" s="1"/>
  <c r="U44" i="1"/>
  <c r="H101" i="1"/>
  <c r="J35" i="1" s="1"/>
  <c r="H2" i="1"/>
  <c r="J2" i="1" s="1"/>
  <c r="M2" i="1" s="1"/>
  <c r="U2" i="1"/>
  <c r="H26" i="1"/>
  <c r="J10" i="1" s="1"/>
  <c r="M10" i="1" s="1"/>
  <c r="U10" i="1"/>
  <c r="H44" i="1"/>
  <c r="J16" i="1" s="1"/>
  <c r="M16" i="1" s="1"/>
  <c r="U16" i="1"/>
  <c r="H86" i="1"/>
  <c r="J30" i="1" s="1"/>
  <c r="M30" i="1" s="1"/>
  <c r="U30" i="1"/>
  <c r="H50" i="1"/>
  <c r="J18" i="1" s="1"/>
  <c r="M18" i="1" s="1"/>
  <c r="U18" i="1"/>
  <c r="H41" i="1"/>
  <c r="J15" i="1" s="1"/>
  <c r="H80" i="1"/>
  <c r="J28" i="1" s="1"/>
  <c r="M28" i="1" s="1"/>
  <c r="H131" i="1"/>
  <c r="J45" i="1" s="1"/>
  <c r="U45" i="1"/>
  <c r="H89" i="1"/>
  <c r="J31" i="1" s="1"/>
  <c r="M31" i="1" s="1"/>
  <c r="U31" i="1"/>
  <c r="H71" i="1"/>
  <c r="J25" i="1" s="1"/>
  <c r="M25" i="1" s="1"/>
  <c r="H62" i="1"/>
  <c r="J22" i="1" s="1"/>
  <c r="U22" i="1"/>
  <c r="H32" i="1"/>
  <c r="J12" i="1" s="1"/>
  <c r="U12" i="1"/>
  <c r="H56" i="1"/>
  <c r="J20" i="1" s="1"/>
  <c r="M20" i="1" s="1"/>
  <c r="H104" i="1"/>
  <c r="J36" i="1" s="1"/>
  <c r="U36" i="1"/>
  <c r="H95" i="1"/>
  <c r="J33" i="1" s="1"/>
  <c r="U33" i="1"/>
  <c r="H47" i="1"/>
  <c r="J17" i="1" s="1"/>
  <c r="M17" i="1" s="1"/>
  <c r="U17" i="1"/>
  <c r="H110" i="1"/>
  <c r="J38" i="1" s="1"/>
  <c r="M38" i="1" s="1"/>
  <c r="U38" i="1"/>
  <c r="H17" i="1"/>
  <c r="J7" i="1" s="1"/>
  <c r="M7" i="1" s="1"/>
  <c r="H113" i="1"/>
  <c r="J39" i="1" s="1"/>
  <c r="M39" i="1" s="1"/>
  <c r="H107" i="1"/>
  <c r="J37" i="1" s="1"/>
  <c r="H77" i="1"/>
  <c r="J27" i="1" s="1"/>
  <c r="M27" i="1" s="1"/>
  <c r="U27" i="1"/>
  <c r="H35" i="1"/>
  <c r="J13" i="1" s="1"/>
  <c r="U13" i="1"/>
  <c r="H8" i="1"/>
  <c r="J4" i="1" s="1"/>
  <c r="M4" i="1" s="1"/>
  <c r="U4" i="1"/>
  <c r="H65" i="1"/>
  <c r="J23" i="1" s="1"/>
  <c r="U23" i="1"/>
  <c r="H59" i="1"/>
  <c r="J21" i="1" s="1"/>
  <c r="M21" i="1" s="1"/>
  <c r="U21" i="1"/>
  <c r="H74" i="1"/>
  <c r="J26" i="1" s="1"/>
  <c r="U26" i="1"/>
  <c r="H38" i="1"/>
  <c r="J14" i="1" s="1"/>
  <c r="M14" i="1" s="1"/>
  <c r="U14" i="1"/>
  <c r="H5" i="1"/>
  <c r="J3" i="1" s="1"/>
  <c r="M3" i="1" s="1"/>
  <c r="U3" i="1"/>
  <c r="H20" i="1"/>
  <c r="J8" i="1" s="1"/>
  <c r="U8" i="1"/>
  <c r="G99" i="1"/>
  <c r="H99" i="1" s="1"/>
  <c r="K34" i="1" s="1"/>
  <c r="N34" i="1" s="1"/>
  <c r="Q34" i="1" s="1"/>
  <c r="Q99" i="5"/>
  <c r="Q87" i="5"/>
  <c r="H87" i="5"/>
  <c r="E87" i="24" s="1"/>
  <c r="H27" i="5"/>
  <c r="E27" i="24" s="1"/>
  <c r="Q27" i="5"/>
  <c r="G109" i="1"/>
  <c r="H109" i="1" s="1"/>
  <c r="L37" i="1" s="1"/>
  <c r="O37" i="1" s="1"/>
  <c r="Q107" i="5"/>
  <c r="H107" i="5"/>
  <c r="E107" i="24" s="1"/>
  <c r="H65" i="5"/>
  <c r="E65" i="24" s="1"/>
  <c r="H51" i="5"/>
  <c r="E51" i="24" s="1"/>
  <c r="Q108" i="5"/>
  <c r="H108" i="5"/>
  <c r="E108" i="24" s="1"/>
  <c r="Q51" i="5"/>
  <c r="Q65" i="5"/>
  <c r="Q86" i="5"/>
  <c r="H86" i="5"/>
  <c r="E86" i="24" s="1"/>
  <c r="H109" i="5"/>
  <c r="E109" i="24" s="1"/>
  <c r="H113" i="5"/>
  <c r="E113" i="24" s="1"/>
  <c r="Q113" i="5"/>
  <c r="Q12" i="5"/>
  <c r="H13" i="5"/>
  <c r="E13" i="24" s="1"/>
  <c r="Q13" i="5"/>
  <c r="H70" i="5"/>
  <c r="E70" i="24" s="1"/>
  <c r="H12" i="5"/>
  <c r="E12" i="24" s="1"/>
  <c r="G70" i="1"/>
  <c r="H70" i="1" s="1"/>
  <c r="L24" i="1" s="1"/>
  <c r="O24" i="1" s="1"/>
  <c r="Q17" i="5"/>
  <c r="Q20" i="5"/>
  <c r="H20" i="5"/>
  <c r="E20" i="24" s="1"/>
  <c r="Q62" i="5"/>
  <c r="H62" i="5"/>
  <c r="E62" i="24" s="1"/>
  <c r="H55" i="5"/>
  <c r="E55" i="24" s="1"/>
  <c r="Q55" i="5"/>
  <c r="H17" i="5"/>
  <c r="E17" i="24" s="1"/>
  <c r="Q19" i="5"/>
  <c r="H19" i="5"/>
  <c r="E19" i="24" s="1"/>
  <c r="H80" i="5"/>
  <c r="E80" i="24" s="1"/>
  <c r="H110" i="5"/>
  <c r="E110" i="24" s="1"/>
  <c r="Q49" i="5"/>
  <c r="H49" i="5"/>
  <c r="E49" i="24" s="1"/>
  <c r="Q8" i="5"/>
  <c r="H8" i="5"/>
  <c r="E8" i="24" s="1"/>
  <c r="Q80" i="5"/>
  <c r="Q133" i="5"/>
  <c r="H133" i="5"/>
  <c r="E133" i="24" s="1"/>
  <c r="Q2" i="5"/>
  <c r="Q67" i="5"/>
  <c r="H67" i="5"/>
  <c r="E67" i="24" s="1"/>
  <c r="H114" i="5"/>
  <c r="E114" i="24" s="1"/>
  <c r="Q114" i="5"/>
  <c r="Q71" i="5"/>
  <c r="H71" i="5"/>
  <c r="E71" i="24" s="1"/>
  <c r="Q110" i="5"/>
  <c r="Q57" i="5"/>
  <c r="Q16" i="5"/>
  <c r="H57" i="5"/>
  <c r="E57" i="24" s="1"/>
  <c r="G125" i="1"/>
  <c r="Q11" i="5"/>
  <c r="H44" i="5"/>
  <c r="E44" i="24" s="1"/>
  <c r="H25" i="5"/>
  <c r="E25" i="24" s="1"/>
  <c r="G25" i="1"/>
  <c r="H25" i="1" s="1"/>
  <c r="L9" i="1" s="1"/>
  <c r="O9" i="1" s="1"/>
  <c r="Q44" i="5"/>
  <c r="H33" i="5"/>
  <c r="E33" i="24" s="1"/>
  <c r="Q54" i="5"/>
  <c r="H54" i="5"/>
  <c r="E54" i="24" s="1"/>
  <c r="Q73" i="5"/>
  <c r="H30" i="5"/>
  <c r="E30" i="24" s="1"/>
  <c r="G30" i="1"/>
  <c r="H30" i="1" s="1"/>
  <c r="K11" i="1" s="1"/>
  <c r="N11" i="1" s="1"/>
  <c r="Q11" i="1" s="1"/>
  <c r="H125" i="5"/>
  <c r="E125" i="24" s="1"/>
  <c r="H73" i="5"/>
  <c r="E73" i="24" s="1"/>
  <c r="Q129" i="5"/>
  <c r="H129" i="5"/>
  <c r="E129" i="24" s="1"/>
  <c r="H121" i="5"/>
  <c r="E121" i="24" s="1"/>
  <c r="Q41" i="5"/>
  <c r="H41" i="5"/>
  <c r="E41" i="24" s="1"/>
  <c r="H26" i="5"/>
  <c r="E26" i="24" s="1"/>
  <c r="Q117" i="5"/>
  <c r="Q26" i="5"/>
  <c r="H64" i="5"/>
  <c r="E64" i="24" s="1"/>
  <c r="Q3" i="5"/>
  <c r="H3" i="5"/>
  <c r="E3" i="24" s="1"/>
  <c r="H2" i="5"/>
  <c r="E2" i="24" s="1"/>
  <c r="H72" i="5"/>
  <c r="E72" i="24" s="1"/>
  <c r="G72" i="1"/>
  <c r="H72" i="1" s="1"/>
  <c r="K25" i="1" s="1"/>
  <c r="N25" i="1" s="1"/>
  <c r="Q25" i="1" s="1"/>
  <c r="H11" i="5"/>
  <c r="E11" i="24" s="1"/>
  <c r="G121" i="1"/>
  <c r="H121" i="1" s="1"/>
  <c r="L41" i="1" s="1"/>
  <c r="O41" i="1" s="1"/>
  <c r="H16" i="5"/>
  <c r="E16" i="24" s="1"/>
  <c r="H43" i="5"/>
  <c r="E43" i="24" s="1"/>
  <c r="G43" i="1"/>
  <c r="H43" i="1" s="1"/>
  <c r="L15" i="1" s="1"/>
  <c r="O15" i="1" s="1"/>
  <c r="Q101" i="5"/>
  <c r="Q122" i="5"/>
  <c r="H84" i="5"/>
  <c r="E84" i="24" s="1"/>
  <c r="H122" i="5"/>
  <c r="E122" i="24" s="1"/>
  <c r="Q84" i="5"/>
  <c r="Q130" i="5"/>
  <c r="H130" i="5"/>
  <c r="E130" i="24" s="1"/>
  <c r="Q33" i="5"/>
  <c r="H124" i="5"/>
  <c r="E124" i="24" s="1"/>
  <c r="Q75" i="5"/>
  <c r="Q124" i="5"/>
  <c r="H75" i="5"/>
  <c r="E75" i="24" s="1"/>
  <c r="G58" i="1"/>
  <c r="H58" i="1" s="1"/>
  <c r="L20" i="1" s="1"/>
  <c r="O20" i="1" s="1"/>
  <c r="H58" i="5"/>
  <c r="E58" i="24" s="1"/>
  <c r="H101" i="5"/>
  <c r="E101" i="24" s="1"/>
  <c r="H118" i="5"/>
  <c r="E118" i="24" s="1"/>
  <c r="H128" i="5"/>
  <c r="E128" i="24" s="1"/>
  <c r="Q90" i="5"/>
  <c r="Q128" i="5"/>
  <c r="Q100" i="5"/>
  <c r="H100" i="5"/>
  <c r="E100" i="24" s="1"/>
  <c r="H117" i="5"/>
  <c r="E117" i="24" s="1"/>
  <c r="H90" i="5"/>
  <c r="E90" i="24" s="1"/>
  <c r="H96" i="5"/>
  <c r="E96" i="24" s="1"/>
  <c r="Q97" i="5"/>
  <c r="Q48" i="5"/>
  <c r="H97" i="5"/>
  <c r="E97" i="24" s="1"/>
  <c r="Q59" i="5"/>
  <c r="Q50" i="5"/>
  <c r="Q18" i="5"/>
  <c r="H103" i="5"/>
  <c r="E103" i="24" s="1"/>
  <c r="G24" i="1"/>
  <c r="H24" i="1" s="1"/>
  <c r="K9" i="1" s="1"/>
  <c r="N9" i="1" s="1"/>
  <c r="H92" i="5"/>
  <c r="E92" i="24" s="1"/>
  <c r="H50" i="5"/>
  <c r="E50" i="24" s="1"/>
  <c r="Q24" i="5"/>
  <c r="Q52" i="5"/>
  <c r="Q34" i="5"/>
  <c r="H52" i="5"/>
  <c r="E52" i="24" s="1"/>
  <c r="Q103" i="5"/>
  <c r="Q37" i="5"/>
  <c r="Q82" i="5"/>
  <c r="H37" i="5"/>
  <c r="E37" i="24" s="1"/>
  <c r="H82" i="5"/>
  <c r="E82" i="24" s="1"/>
  <c r="Q39" i="5"/>
  <c r="H34" i="5"/>
  <c r="E34" i="24" s="1"/>
  <c r="H78" i="5"/>
  <c r="E78" i="24" s="1"/>
  <c r="H36" i="5"/>
  <c r="E36" i="24" s="1"/>
  <c r="H112" i="5"/>
  <c r="E112" i="24" s="1"/>
  <c r="H39" i="5"/>
  <c r="E39" i="24" s="1"/>
  <c r="G98" i="1"/>
  <c r="Q36" i="5"/>
  <c r="Q112" i="5"/>
  <c r="H98" i="5"/>
  <c r="E98" i="24" s="1"/>
  <c r="Q63" i="5"/>
  <c r="H63" i="5"/>
  <c r="E63" i="24" s="1"/>
  <c r="Q118" i="5"/>
  <c r="Q64" i="5"/>
  <c r="Q78" i="5"/>
  <c r="Q89" i="5"/>
  <c r="Q61" i="5"/>
  <c r="H61" i="5"/>
  <c r="E61" i="24" s="1"/>
  <c r="H59" i="5"/>
  <c r="E59" i="24" s="1"/>
  <c r="Q28" i="5"/>
  <c r="H28" i="5"/>
  <c r="E28" i="24" s="1"/>
  <c r="H116" i="5"/>
  <c r="E116" i="24" s="1"/>
  <c r="Q35" i="5"/>
  <c r="H35" i="5"/>
  <c r="E35" i="24" s="1"/>
  <c r="H22" i="5"/>
  <c r="E22" i="24" s="1"/>
  <c r="H60" i="5"/>
  <c r="E60" i="24" s="1"/>
  <c r="H47" i="5"/>
  <c r="E47" i="24" s="1"/>
  <c r="Q93" i="5"/>
  <c r="Q56" i="5"/>
  <c r="H93" i="5"/>
  <c r="E93" i="24" s="1"/>
  <c r="H56" i="5"/>
  <c r="E56" i="24" s="1"/>
  <c r="H89" i="5"/>
  <c r="E89" i="24" s="1"/>
  <c r="Q5" i="5"/>
  <c r="H5" i="5"/>
  <c r="E5" i="24" s="1"/>
  <c r="Q92" i="5"/>
  <c r="H132" i="5"/>
  <c r="E132" i="24" s="1"/>
  <c r="Q96" i="5"/>
  <c r="Q66" i="5"/>
  <c r="Q47" i="5"/>
  <c r="Q94" i="5"/>
  <c r="H94" i="5"/>
  <c r="E94" i="24" s="1"/>
  <c r="H46" i="5"/>
  <c r="E46" i="24" s="1"/>
  <c r="H48" i="5"/>
  <c r="E48" i="24" s="1"/>
  <c r="Q40" i="5"/>
  <c r="H126" i="5"/>
  <c r="E126" i="24" s="1"/>
  <c r="H40" i="5"/>
  <c r="E40" i="24" s="1"/>
  <c r="Q46" i="5"/>
  <c r="Q119" i="5"/>
  <c r="H119" i="5"/>
  <c r="E119" i="24" s="1"/>
  <c r="Q132" i="5"/>
  <c r="Q81" i="5"/>
  <c r="G81" i="1"/>
  <c r="H81" i="1" s="1"/>
  <c r="K28" i="1" s="1"/>
  <c r="N28" i="1" s="1"/>
  <c r="H29" i="5"/>
  <c r="E29" i="24" s="1"/>
  <c r="G29" i="1"/>
  <c r="Q10" i="5"/>
  <c r="H10" i="5"/>
  <c r="E10" i="24" s="1"/>
  <c r="Q105" i="5"/>
  <c r="H105" i="5"/>
  <c r="E105" i="24" s="1"/>
  <c r="Q116" i="5"/>
  <c r="Q22" i="5"/>
  <c r="H21" i="5"/>
  <c r="E21" i="24" s="1"/>
  <c r="Q21" i="5"/>
  <c r="H83" i="5"/>
  <c r="E83" i="24" s="1"/>
  <c r="G83" i="1"/>
  <c r="G53" i="1"/>
  <c r="H53" i="5"/>
  <c r="E53" i="24" s="1"/>
  <c r="Q115" i="5"/>
  <c r="Q9" i="5"/>
  <c r="Q126" i="5"/>
  <c r="Q123" i="5"/>
  <c r="Q15" i="5"/>
  <c r="H15" i="5"/>
  <c r="E15" i="24" s="1"/>
  <c r="Q38" i="5"/>
  <c r="H69" i="5"/>
  <c r="E69" i="24" s="1"/>
  <c r="Q85" i="5"/>
  <c r="H85" i="5"/>
  <c r="E85" i="24" s="1"/>
  <c r="Q7" i="5"/>
  <c r="Q120" i="5"/>
  <c r="H7" i="5"/>
  <c r="E7" i="24" s="1"/>
  <c r="H120" i="5"/>
  <c r="E120" i="24" s="1"/>
  <c r="Q60" i="5"/>
  <c r="G115" i="1"/>
  <c r="H115" i="1" s="1"/>
  <c r="L39" i="1" s="1"/>
  <c r="O39" i="1" s="1"/>
  <c r="Q127" i="5"/>
  <c r="Q69" i="5"/>
  <c r="Q42" i="5"/>
  <c r="G102" i="1"/>
  <c r="H102" i="1" s="1"/>
  <c r="K35" i="1" s="1"/>
  <c r="N35" i="1" s="1"/>
  <c r="Q35" i="1" s="1"/>
  <c r="Q102" i="5"/>
  <c r="Q111" i="5"/>
  <c r="H123" i="5"/>
  <c r="E123" i="24" s="1"/>
  <c r="H38" i="5"/>
  <c r="E38" i="24" s="1"/>
  <c r="H9" i="5"/>
  <c r="E9" i="24" s="1"/>
  <c r="H111" i="5"/>
  <c r="E111" i="24" s="1"/>
  <c r="G127" i="1"/>
  <c r="H127" i="1" s="1"/>
  <c r="L43" i="1" s="1"/>
  <c r="O43" i="1" s="1"/>
  <c r="Q131" i="5"/>
  <c r="H131" i="5"/>
  <c r="E131" i="24" s="1"/>
  <c r="H32" i="5"/>
  <c r="E32" i="24" s="1"/>
  <c r="Q77" i="5"/>
  <c r="Q4" i="5"/>
  <c r="H42" i="5"/>
  <c r="E42" i="24" s="1"/>
  <c r="H77" i="5"/>
  <c r="E77" i="24" s="1"/>
  <c r="H4" i="5"/>
  <c r="E4" i="24" s="1"/>
  <c r="Q32" i="5"/>
  <c r="Q104" i="5"/>
  <c r="H76" i="5"/>
  <c r="E76" i="24" s="1"/>
  <c r="Q76" i="5"/>
  <c r="Q23" i="5"/>
  <c r="H23" i="5"/>
  <c r="E23" i="24" s="1"/>
  <c r="H106" i="5"/>
  <c r="E106" i="24" s="1"/>
  <c r="H6" i="5"/>
  <c r="E6" i="24" s="1"/>
  <c r="H31" i="5"/>
  <c r="E31" i="24" s="1"/>
  <c r="H66" i="5"/>
  <c r="E66" i="24" s="1"/>
  <c r="Q95" i="5"/>
  <c r="H95" i="5"/>
  <c r="E95" i="24" s="1"/>
  <c r="Q14" i="5"/>
  <c r="H14" i="5"/>
  <c r="E14" i="24" s="1"/>
  <c r="Q91" i="5"/>
  <c r="H91" i="5"/>
  <c r="E91" i="24" s="1"/>
  <c r="Q6" i="5"/>
  <c r="Q31" i="5"/>
  <c r="Q74" i="5"/>
  <c r="H74" i="5"/>
  <c r="E74" i="24" s="1"/>
  <c r="H104" i="5"/>
  <c r="E104" i="24" s="1"/>
  <c r="Q45" i="5"/>
  <c r="Q106" i="5"/>
  <c r="H79" i="5"/>
  <c r="E79" i="24" s="1"/>
  <c r="Q79" i="5"/>
  <c r="Q68" i="5"/>
  <c r="G68" i="1"/>
  <c r="H45" i="5"/>
  <c r="E45" i="24" s="1"/>
  <c r="L13" i="6"/>
  <c r="AI20" i="1"/>
  <c r="J56" i="5" s="1"/>
  <c r="K57" i="5" s="1"/>
  <c r="AI34" i="1"/>
  <c r="N10" i="1"/>
  <c r="Q10" i="1" s="1"/>
  <c r="O26" i="1"/>
  <c r="N16" i="1"/>
  <c r="Q16" i="1" s="1"/>
  <c r="K39" i="1"/>
  <c r="AB39" i="1"/>
  <c r="AG39" i="1"/>
  <c r="O34" i="1"/>
  <c r="M36" i="55"/>
  <c r="O36" i="55" s="1"/>
  <c r="P40" i="55"/>
  <c r="M43" i="55" s="1"/>
  <c r="O43" i="55" s="1"/>
  <c r="M50" i="55"/>
  <c r="O50" i="55" s="1"/>
  <c r="M29" i="55"/>
  <c r="O29" i="55" s="1"/>
  <c r="P5" i="55"/>
  <c r="S5" i="55" s="1"/>
  <c r="P12" i="55"/>
  <c r="M15" i="55" s="1"/>
  <c r="O15" i="55" s="1"/>
  <c r="P19" i="55"/>
  <c r="S19" i="55" s="1"/>
  <c r="K43" i="1"/>
  <c r="N43" i="1" s="1"/>
  <c r="L7" i="1"/>
  <c r="O7" i="1" s="1"/>
  <c r="L28" i="1"/>
  <c r="O10" i="1"/>
  <c r="O11" i="1"/>
  <c r="N3" i="1"/>
  <c r="Q3" i="1" s="1"/>
  <c r="N21" i="1"/>
  <c r="Q21" i="1" s="1"/>
  <c r="N40" i="1"/>
  <c r="Q40" i="1" s="1"/>
  <c r="O40" i="1"/>
  <c r="O42" i="1"/>
  <c r="O32" i="1"/>
  <c r="O13" i="1"/>
  <c r="O30" i="1"/>
  <c r="N42" i="1"/>
  <c r="Q42" i="1" s="1"/>
  <c r="N44" i="1"/>
  <c r="Q44" i="1" s="1"/>
  <c r="O22" i="1"/>
  <c r="N33" i="1"/>
  <c r="Q33" i="1" s="1"/>
  <c r="O16" i="1"/>
  <c r="N13" i="1"/>
  <c r="Q13" i="1" s="1"/>
  <c r="N18" i="1"/>
  <c r="Q18" i="1" s="1"/>
  <c r="O21" i="1"/>
  <c r="O18" i="1"/>
  <c r="O44" i="1"/>
  <c r="N32" i="1"/>
  <c r="Q32" i="1" s="1"/>
  <c r="AB16" i="1"/>
  <c r="AC30" i="1"/>
  <c r="AF30" i="1" s="1"/>
  <c r="AC12" i="1"/>
  <c r="AF12" i="1" s="1"/>
  <c r="N27" i="1"/>
  <c r="Q27" i="1" s="1"/>
  <c r="AC31" i="1"/>
  <c r="AF31" i="1" s="1"/>
  <c r="O35" i="1"/>
  <c r="AC41" i="1"/>
  <c r="AF41" i="1" s="1"/>
  <c r="AD2" i="1"/>
  <c r="AG2" i="1" s="1"/>
  <c r="AB7" i="1"/>
  <c r="AB45" i="1"/>
  <c r="AB37" i="1"/>
  <c r="AC26" i="1"/>
  <c r="AF26" i="1" s="1"/>
  <c r="O6" i="1"/>
  <c r="K6" i="1"/>
  <c r="O5" i="1"/>
  <c r="AC36" i="1"/>
  <c r="AF36" i="1" s="1"/>
  <c r="O14" i="1"/>
  <c r="AC45" i="1"/>
  <c r="AF45" i="1" s="1"/>
  <c r="AB4" i="1"/>
  <c r="AB18" i="1"/>
  <c r="O8" i="1"/>
  <c r="AB31" i="1"/>
  <c r="N8" i="1"/>
  <c r="Q8" i="1" s="1"/>
  <c r="AD37" i="1"/>
  <c r="AG37" i="1" s="1"/>
  <c r="N12" i="1"/>
  <c r="Q12" i="1" s="1"/>
  <c r="AC9" i="1"/>
  <c r="AF9" i="1" s="1"/>
  <c r="N31" i="1"/>
  <c r="Q31" i="1" s="1"/>
  <c r="AD35" i="1"/>
  <c r="AG35" i="1" s="1"/>
  <c r="N41" i="1"/>
  <c r="AB3" i="1"/>
  <c r="O2" i="1"/>
  <c r="AC37" i="1"/>
  <c r="AF37" i="1" s="1"/>
  <c r="AB26" i="1"/>
  <c r="AG26" i="1"/>
  <c r="N26" i="1"/>
  <c r="Q26" i="1" s="1"/>
  <c r="K14" i="1"/>
  <c r="AB35" i="1"/>
  <c r="AB23" i="1"/>
  <c r="AD40" i="1"/>
  <c r="AG40" i="1" s="1"/>
  <c r="AD14" i="1"/>
  <c r="AG14" i="1" s="1"/>
  <c r="AC32" i="1"/>
  <c r="AF32" i="1" s="1"/>
  <c r="AE17" i="1"/>
  <c r="AH17" i="1" s="1"/>
  <c r="AC17" i="1"/>
  <c r="AF17" i="1" s="1"/>
  <c r="AD45" i="1"/>
  <c r="AG45" i="1" s="1"/>
  <c r="N30" i="1"/>
  <c r="Q30" i="1" s="1"/>
  <c r="AD24" i="1"/>
  <c r="AG24" i="1" s="1"/>
  <c r="AC43" i="1"/>
  <c r="AE43" i="1"/>
  <c r="AH43" i="1" s="1"/>
  <c r="AD8" i="1"/>
  <c r="AG8" i="1" s="1"/>
  <c r="AC8" i="1"/>
  <c r="AF8" i="1" s="1"/>
  <c r="O3" i="1"/>
  <c r="O33" i="1"/>
  <c r="AD12" i="1"/>
  <c r="AG12" i="1" s="1"/>
  <c r="AB2" i="1"/>
  <c r="N37" i="1"/>
  <c r="AB12" i="1"/>
  <c r="AC14" i="1"/>
  <c r="AE14" i="1"/>
  <c r="AH14" i="1" s="1"/>
  <c r="AE38" i="1"/>
  <c r="AH38" i="1" s="1"/>
  <c r="AC38" i="1"/>
  <c r="AC3" i="1"/>
  <c r="AF3" i="1" s="1"/>
  <c r="AC11" i="1"/>
  <c r="AF11" i="1" s="1"/>
  <c r="AB21" i="1"/>
  <c r="K17" i="1"/>
  <c r="AD32" i="1"/>
  <c r="AG32" i="1" s="1"/>
  <c r="O45" i="1"/>
  <c r="AB13" i="1"/>
  <c r="AB9" i="1"/>
  <c r="AF10" i="1"/>
  <c r="AD10" i="1"/>
  <c r="AG10" i="1" s="1"/>
  <c r="AD3" i="1"/>
  <c r="AG3" i="1" s="1"/>
  <c r="AD33" i="1"/>
  <c r="AG33" i="1" s="1"/>
  <c r="O12" i="1"/>
  <c r="AB19" i="1"/>
  <c r="AC15" i="1"/>
  <c r="AF15" i="1" s="1"/>
  <c r="AD11" i="1"/>
  <c r="AG11" i="1" s="1"/>
  <c r="AC42" i="1"/>
  <c r="AF42" i="1" s="1"/>
  <c r="AB8" i="1"/>
  <c r="O31" i="1"/>
  <c r="AB5" i="1"/>
  <c r="AF16" i="1"/>
  <c r="AD16" i="1"/>
  <c r="AG16" i="1" s="1"/>
  <c r="K38" i="1"/>
  <c r="AD42" i="1"/>
  <c r="AG42" i="1" s="1"/>
  <c r="AC21" i="1"/>
  <c r="AF21" i="1" s="1"/>
  <c r="AB44" i="1"/>
  <c r="AC13" i="1"/>
  <c r="AF13" i="1" s="1"/>
  <c r="AB36" i="1"/>
  <c r="AB40" i="1"/>
  <c r="AD17" i="1"/>
  <c r="AG17" i="1" s="1"/>
  <c r="AC4" i="1"/>
  <c r="AF4" i="1" s="1"/>
  <c r="AB42" i="1"/>
  <c r="N45" i="1"/>
  <c r="Q45" i="1" s="1"/>
  <c r="AD25" i="1"/>
  <c r="AG25" i="1" s="1"/>
  <c r="O17" i="1"/>
  <c r="AD21" i="1"/>
  <c r="AG21" i="1" s="1"/>
  <c r="AD41" i="1"/>
  <c r="AG41" i="1" s="1"/>
  <c r="AF7" i="1"/>
  <c r="AD7" i="1"/>
  <c r="AG7" i="1" s="1"/>
  <c r="N15" i="1"/>
  <c r="AC2" i="1"/>
  <c r="AF2" i="1" s="1"/>
  <c r="AB25" i="1"/>
  <c r="AD31" i="1"/>
  <c r="AG31" i="1" s="1"/>
  <c r="N19" i="1"/>
  <c r="AB27" i="1"/>
  <c r="AD28" i="1"/>
  <c r="AG28" i="1" s="1"/>
  <c r="AF28" i="1"/>
  <c r="O36" i="1"/>
  <c r="AD30" i="1"/>
  <c r="AG30" i="1" s="1"/>
  <c r="AC44" i="1"/>
  <c r="AF44" i="1" s="1"/>
  <c r="AB32" i="1"/>
  <c r="AC18" i="1"/>
  <c r="AF18" i="1" s="1"/>
  <c r="N4" i="1"/>
  <c r="Q4" i="1" s="1"/>
  <c r="O25" i="1"/>
  <c r="AB30" i="1"/>
  <c r="N23" i="1"/>
  <c r="Q23" i="1" s="1"/>
  <c r="N22" i="1"/>
  <c r="Q22" i="1" s="1"/>
  <c r="O29" i="1"/>
  <c r="AC40" i="1"/>
  <c r="AF40" i="1" s="1"/>
  <c r="AD38" i="1"/>
  <c r="AG38" i="1" s="1"/>
  <c r="O4" i="1"/>
  <c r="N2" i="1"/>
  <c r="Q2" i="1" s="1"/>
  <c r="AD9" i="1"/>
  <c r="AG9" i="1" s="1"/>
  <c r="L19" i="1"/>
  <c r="AD18" i="1"/>
  <c r="AG18" i="1" s="1"/>
  <c r="AC19" i="1"/>
  <c r="AF19" i="1" s="1"/>
  <c r="AC33" i="1"/>
  <c r="AF33" i="1" s="1"/>
  <c r="AB10" i="1"/>
  <c r="AD36" i="1"/>
  <c r="AG36" i="1" s="1"/>
  <c r="AB22" i="1"/>
  <c r="AD15" i="1"/>
  <c r="AG15" i="1" s="1"/>
  <c r="AC23" i="1"/>
  <c r="AF23" i="1" s="1"/>
  <c r="AC22" i="1"/>
  <c r="AF22" i="1" s="1"/>
  <c r="AE29" i="1"/>
  <c r="AH29" i="1" s="1"/>
  <c r="AC29" i="1"/>
  <c r="O23" i="1"/>
  <c r="AD29" i="1"/>
  <c r="AG29" i="1" s="1"/>
  <c r="AE24" i="1"/>
  <c r="AH24" i="1" s="1"/>
  <c r="AC24" i="1"/>
  <c r="AF24" i="1" s="1"/>
  <c r="O38" i="1"/>
  <c r="AD4" i="1"/>
  <c r="AG4" i="1" s="1"/>
  <c r="AD22" i="1"/>
  <c r="AG22" i="1" s="1"/>
  <c r="AD19" i="1"/>
  <c r="AG19" i="1" s="1"/>
  <c r="AB33" i="1"/>
  <c r="AD44" i="1"/>
  <c r="AG44" i="1" s="1"/>
  <c r="AC5" i="1"/>
  <c r="AF5" i="1" s="1"/>
  <c r="AD27" i="1"/>
  <c r="AG27" i="1" s="1"/>
  <c r="AB28" i="1"/>
  <c r="N29" i="1"/>
  <c r="Q29" i="1" s="1"/>
  <c r="AD23" i="1"/>
  <c r="AG23" i="1" s="1"/>
  <c r="AC25" i="1"/>
  <c r="AF25" i="1" s="1"/>
  <c r="AC27" i="1"/>
  <c r="AF27" i="1" s="1"/>
  <c r="AB11" i="1"/>
  <c r="AC35" i="1"/>
  <c r="AF35" i="1" s="1"/>
  <c r="K24" i="1"/>
  <c r="AB41" i="1"/>
  <c r="AB15" i="1"/>
  <c r="AD6" i="1"/>
  <c r="AG6" i="1" s="1"/>
  <c r="AC6" i="1"/>
  <c r="AE6" i="1"/>
  <c r="AH6" i="1" s="1"/>
  <c r="AD5" i="1"/>
  <c r="AG5" i="1" s="1"/>
  <c r="AD13" i="1"/>
  <c r="AG13" i="1" s="1"/>
  <c r="N36" i="1"/>
  <c r="Q36" i="1" s="1"/>
  <c r="N5" i="1"/>
  <c r="Q5" i="1" s="1"/>
  <c r="O27" i="1"/>
  <c r="R49" i="1" l="1"/>
  <c r="U50" i="1"/>
  <c r="H147" i="1"/>
  <c r="K50" i="1" s="1"/>
  <c r="H142" i="1"/>
  <c r="L48" i="1" s="1"/>
  <c r="U48" i="1"/>
  <c r="U51" i="1"/>
  <c r="H150" i="1"/>
  <c r="K51" i="1" s="1"/>
  <c r="R47" i="1"/>
  <c r="U49" i="1"/>
  <c r="H144" i="1"/>
  <c r="K49" i="1" s="1"/>
  <c r="AH51" i="1"/>
  <c r="AI51" i="1" s="1"/>
  <c r="J149" i="5" s="1"/>
  <c r="AH49" i="1"/>
  <c r="AI49" i="1" s="1"/>
  <c r="J143" i="5" s="1"/>
  <c r="AH48" i="1"/>
  <c r="AI48" i="1" s="1"/>
  <c r="J140" i="5" s="1"/>
  <c r="P48" i="1"/>
  <c r="AE50" i="1"/>
  <c r="AH50" i="1" s="1"/>
  <c r="AC50" i="1"/>
  <c r="AF50" i="1" s="1"/>
  <c r="K138" i="5"/>
  <c r="K135" i="5"/>
  <c r="U47" i="1"/>
  <c r="P47" i="1"/>
  <c r="S47" i="1" s="1"/>
  <c r="Q46" i="1"/>
  <c r="U46" i="1"/>
  <c r="Q47" i="1"/>
  <c r="M46" i="1"/>
  <c r="P46" i="1" s="1"/>
  <c r="S46" i="1" s="1"/>
  <c r="R46" i="1"/>
  <c r="U7" i="1"/>
  <c r="R38" i="1"/>
  <c r="R25" i="1"/>
  <c r="R16" i="1"/>
  <c r="R7" i="1"/>
  <c r="R18" i="1"/>
  <c r="R10" i="1"/>
  <c r="R27" i="1"/>
  <c r="R20" i="1"/>
  <c r="R4" i="1"/>
  <c r="R42" i="1"/>
  <c r="R14" i="1"/>
  <c r="U37" i="1"/>
  <c r="R17" i="1"/>
  <c r="R21" i="1"/>
  <c r="U39" i="1"/>
  <c r="R30" i="1"/>
  <c r="R6" i="1"/>
  <c r="U41" i="1"/>
  <c r="P3" i="1"/>
  <c r="S3" i="1" s="1"/>
  <c r="P31" i="1"/>
  <c r="S31" i="1" s="1"/>
  <c r="P21" i="1"/>
  <c r="S21" i="1" s="1"/>
  <c r="P2" i="1"/>
  <c r="S2" i="1" s="1"/>
  <c r="P4" i="1"/>
  <c r="S4" i="1" s="1"/>
  <c r="P16" i="1"/>
  <c r="S16" i="1" s="1"/>
  <c r="H53" i="1"/>
  <c r="J19" i="1" s="1"/>
  <c r="M19" i="1" s="1"/>
  <c r="U19" i="1"/>
  <c r="H125" i="1"/>
  <c r="J43" i="1" s="1"/>
  <c r="M43" i="1" s="1"/>
  <c r="P43" i="1" s="1"/>
  <c r="S43" i="1" s="1"/>
  <c r="U43" i="1"/>
  <c r="P27" i="1"/>
  <c r="S27" i="1" s="1"/>
  <c r="R3" i="1"/>
  <c r="P18" i="1"/>
  <c r="S18" i="1" s="1"/>
  <c r="P20" i="1"/>
  <c r="U25" i="1"/>
  <c r="U28" i="1"/>
  <c r="U35" i="1"/>
  <c r="U9" i="1"/>
  <c r="H83" i="1"/>
  <c r="J29" i="1" s="1"/>
  <c r="M29" i="1" s="1"/>
  <c r="U29" i="1"/>
  <c r="H98" i="1"/>
  <c r="J34" i="1" s="1"/>
  <c r="M34" i="1" s="1"/>
  <c r="U34" i="1"/>
  <c r="P42" i="1"/>
  <c r="S42" i="1" s="1"/>
  <c r="P10" i="1"/>
  <c r="S10" i="1" s="1"/>
  <c r="R39" i="1"/>
  <c r="H29" i="1"/>
  <c r="J11" i="1" s="1"/>
  <c r="M11" i="1" s="1"/>
  <c r="U11" i="1"/>
  <c r="U20" i="1"/>
  <c r="U15" i="1"/>
  <c r="P30" i="1"/>
  <c r="S30" i="1" s="1"/>
  <c r="H68" i="1"/>
  <c r="J24" i="1" s="1"/>
  <c r="M24" i="1" s="1"/>
  <c r="P24" i="1" s="1"/>
  <c r="S24" i="1" s="1"/>
  <c r="U24" i="1"/>
  <c r="Q37" i="1"/>
  <c r="Q9" i="1"/>
  <c r="Q20" i="1"/>
  <c r="Q15" i="1"/>
  <c r="P25" i="1"/>
  <c r="S25" i="1" s="1"/>
  <c r="Q41" i="1"/>
  <c r="Q28" i="1"/>
  <c r="Q43" i="1"/>
  <c r="AF14" i="1"/>
  <c r="AI14" i="1" s="1"/>
  <c r="J38" i="5" s="1"/>
  <c r="K39" i="5" s="1"/>
  <c r="AF29" i="1"/>
  <c r="AI29" i="1" s="1"/>
  <c r="AI24" i="1"/>
  <c r="J68" i="5" s="1"/>
  <c r="K69" i="5" s="1"/>
  <c r="AI17" i="1"/>
  <c r="J47" i="5" s="1"/>
  <c r="K48" i="5" s="1"/>
  <c r="AF38" i="1"/>
  <c r="AI38" i="1" s="1"/>
  <c r="AE22" i="1"/>
  <c r="AH22" i="1" s="1"/>
  <c r="AE21" i="1"/>
  <c r="AH21" i="1" s="1"/>
  <c r="AI21" i="1" s="1"/>
  <c r="J59" i="5" s="1"/>
  <c r="K60" i="5" s="1"/>
  <c r="AE44" i="1"/>
  <c r="AH44" i="1" s="1"/>
  <c r="AE5" i="1"/>
  <c r="AH5" i="1" s="1"/>
  <c r="AE37" i="1"/>
  <c r="AH37" i="1" s="1"/>
  <c r="AE31" i="1"/>
  <c r="AH31" i="1" s="1"/>
  <c r="AE15" i="1"/>
  <c r="AH15" i="1" s="1"/>
  <c r="AE19" i="1"/>
  <c r="AH19" i="1" s="1"/>
  <c r="AE8" i="1"/>
  <c r="AH8" i="1" s="1"/>
  <c r="AE2" i="1"/>
  <c r="AH2" i="1" s="1"/>
  <c r="AE3" i="1"/>
  <c r="AH3" i="1" s="1"/>
  <c r="AE18" i="1"/>
  <c r="AH18" i="1" s="1"/>
  <c r="AE45" i="1"/>
  <c r="AH45" i="1" s="1"/>
  <c r="AI45" i="1" s="1"/>
  <c r="AE23" i="1"/>
  <c r="AH23" i="1" s="1"/>
  <c r="AE13" i="1"/>
  <c r="AH13" i="1" s="1"/>
  <c r="AI13" i="1" s="1"/>
  <c r="AE4" i="1"/>
  <c r="AH4" i="1" s="1"/>
  <c r="AE25" i="1"/>
  <c r="AH25" i="1" s="1"/>
  <c r="AE42" i="1"/>
  <c r="AH42" i="1" s="1"/>
  <c r="AE40" i="1"/>
  <c r="AH40" i="1" s="1"/>
  <c r="AE27" i="1"/>
  <c r="AH27" i="1" s="1"/>
  <c r="AE35" i="1"/>
  <c r="AH35" i="1" s="1"/>
  <c r="AI35" i="1" s="1"/>
  <c r="J101" i="5" s="1"/>
  <c r="K102" i="5" s="1"/>
  <c r="G56" i="24"/>
  <c r="R26" i="1"/>
  <c r="M8" i="55"/>
  <c r="O8" i="55" s="1"/>
  <c r="M22" i="55"/>
  <c r="O22" i="55" s="1"/>
  <c r="R9" i="1"/>
  <c r="O28" i="1"/>
  <c r="R28" i="1" s="1"/>
  <c r="AE39" i="1"/>
  <c r="AH39" i="1" s="1"/>
  <c r="P39" i="1"/>
  <c r="S39" i="1" s="1"/>
  <c r="N39" i="1"/>
  <c r="Q39" i="1" s="1"/>
  <c r="M26" i="1"/>
  <c r="R31" i="1"/>
  <c r="Q7" i="1"/>
  <c r="R2" i="1"/>
  <c r="AF6" i="1"/>
  <c r="AI6" i="1" s="1"/>
  <c r="R41" i="1"/>
  <c r="M41" i="1"/>
  <c r="M23" i="1"/>
  <c r="R23" i="1"/>
  <c r="R8" i="1"/>
  <c r="M8" i="1"/>
  <c r="AF43" i="1"/>
  <c r="P14" i="1"/>
  <c r="S14" i="1" s="1"/>
  <c r="N14" i="1"/>
  <c r="O19" i="1"/>
  <c r="Q19" i="1"/>
  <c r="AE28" i="1"/>
  <c r="AH28" i="1" s="1"/>
  <c r="R36" i="1"/>
  <c r="M36" i="1"/>
  <c r="R35" i="1"/>
  <c r="M35" i="1"/>
  <c r="AE26" i="1"/>
  <c r="AH26" i="1" s="1"/>
  <c r="AI26" i="1" s="1"/>
  <c r="R5" i="1"/>
  <c r="M5" i="1"/>
  <c r="M32" i="1"/>
  <c r="R32" i="1"/>
  <c r="N38" i="1"/>
  <c r="P38" i="1"/>
  <c r="S38" i="1" s="1"/>
  <c r="R44" i="1"/>
  <c r="M44" i="1"/>
  <c r="M22" i="1"/>
  <c r="R22" i="1"/>
  <c r="P9" i="1"/>
  <c r="S9" i="1" s="1"/>
  <c r="AE30" i="1"/>
  <c r="AH30" i="1" s="1"/>
  <c r="AE16" i="1"/>
  <c r="AH16" i="1" s="1"/>
  <c r="AI16" i="1" s="1"/>
  <c r="R37" i="1"/>
  <c r="M37" i="1"/>
  <c r="AE10" i="1"/>
  <c r="AH10" i="1" s="1"/>
  <c r="M33" i="1"/>
  <c r="R33" i="1"/>
  <c r="R12" i="1"/>
  <c r="M12" i="1"/>
  <c r="AE11" i="1"/>
  <c r="AH11" i="1" s="1"/>
  <c r="AE32" i="1"/>
  <c r="AH32" i="1" s="1"/>
  <c r="P28" i="1"/>
  <c r="S28" i="1" s="1"/>
  <c r="AE33" i="1"/>
  <c r="AH33" i="1" s="1"/>
  <c r="P17" i="1"/>
  <c r="S17" i="1" s="1"/>
  <c r="N17" i="1"/>
  <c r="N6" i="1"/>
  <c r="Q6" i="1" s="1"/>
  <c r="P6" i="1"/>
  <c r="S6" i="1" s="1"/>
  <c r="AE41" i="1"/>
  <c r="AH41" i="1" s="1"/>
  <c r="R45" i="1"/>
  <c r="M45" i="1"/>
  <c r="N24" i="1"/>
  <c r="Q24" i="1" s="1"/>
  <c r="R40" i="1"/>
  <c r="M40" i="1"/>
  <c r="P7" i="1"/>
  <c r="S7" i="1" s="1"/>
  <c r="AE7" i="1"/>
  <c r="AH7" i="1" s="1"/>
  <c r="R13" i="1"/>
  <c r="M13" i="1"/>
  <c r="AE9" i="1"/>
  <c r="AH9" i="1" s="1"/>
  <c r="AE36" i="1"/>
  <c r="AH36" i="1" s="1"/>
  <c r="R15" i="1"/>
  <c r="M15" i="1"/>
  <c r="AE12" i="1"/>
  <c r="AH12" i="1" s="1"/>
  <c r="N50" i="1" l="1"/>
  <c r="Q50" i="1" s="1"/>
  <c r="P50" i="1"/>
  <c r="S50" i="1" s="1"/>
  <c r="O48" i="1"/>
  <c r="R48" i="1" s="1"/>
  <c r="Q48" i="1"/>
  <c r="T50" i="1"/>
  <c r="I146" i="5" s="1"/>
  <c r="AI50" i="1"/>
  <c r="J146" i="5" s="1"/>
  <c r="N51" i="1"/>
  <c r="Q51" i="1" s="1"/>
  <c r="P51" i="1"/>
  <c r="S51" i="1" s="1"/>
  <c r="N49" i="1"/>
  <c r="Q49" i="1" s="1"/>
  <c r="P49" i="1"/>
  <c r="S49" i="1" s="1"/>
  <c r="K150" i="5"/>
  <c r="G149" i="24"/>
  <c r="AM18" i="5"/>
  <c r="K144" i="5"/>
  <c r="G143" i="24"/>
  <c r="G140" i="24"/>
  <c r="K141" i="5"/>
  <c r="S48" i="1"/>
  <c r="T47" i="1"/>
  <c r="T46" i="1"/>
  <c r="T27" i="1"/>
  <c r="T28" i="1"/>
  <c r="T16" i="1"/>
  <c r="S37" i="13" s="1"/>
  <c r="T30" i="1"/>
  <c r="T2" i="1"/>
  <c r="R19" i="1"/>
  <c r="T21" i="1"/>
  <c r="S35" i="13" s="1"/>
  <c r="T42" i="1"/>
  <c r="T4" i="1"/>
  <c r="P11" i="1"/>
  <c r="S11" i="1" s="1"/>
  <c r="T10" i="1"/>
  <c r="R34" i="1"/>
  <c r="T9" i="1"/>
  <c r="R24" i="1"/>
  <c r="T24" i="1" s="1"/>
  <c r="T18" i="1"/>
  <c r="R29" i="1"/>
  <c r="P32" i="1"/>
  <c r="S32" i="1" s="1"/>
  <c r="P15" i="1"/>
  <c r="S15" i="1" s="1"/>
  <c r="P5" i="1"/>
  <c r="S5" i="1" s="1"/>
  <c r="R43" i="1"/>
  <c r="T43" i="1" s="1"/>
  <c r="P33" i="1"/>
  <c r="S33" i="1" s="1"/>
  <c r="P26" i="1"/>
  <c r="S26" i="1" s="1"/>
  <c r="S20" i="1"/>
  <c r="T20" i="1" s="1"/>
  <c r="P34" i="1"/>
  <c r="S34" i="1" s="1"/>
  <c r="P23" i="1"/>
  <c r="S23" i="1" s="1"/>
  <c r="T6" i="1"/>
  <c r="T7" i="1"/>
  <c r="P19" i="1"/>
  <c r="T3" i="1"/>
  <c r="P41" i="1"/>
  <c r="S41" i="1" s="1"/>
  <c r="T25" i="1"/>
  <c r="R11" i="1"/>
  <c r="T39" i="1"/>
  <c r="P29" i="1"/>
  <c r="S29" i="1" s="1"/>
  <c r="P13" i="1"/>
  <c r="S13" i="1" s="1"/>
  <c r="T31" i="1"/>
  <c r="M39" i="13"/>
  <c r="AI39" i="1"/>
  <c r="J113" i="5" s="1"/>
  <c r="K114" i="5" s="1"/>
  <c r="AI42" i="1"/>
  <c r="AI40" i="1"/>
  <c r="J116" i="5" s="1"/>
  <c r="K117" i="5" s="1"/>
  <c r="AI37" i="1"/>
  <c r="AI15" i="1"/>
  <c r="J41" i="5" s="1"/>
  <c r="AI33" i="1"/>
  <c r="AI32" i="1"/>
  <c r="AI28" i="1"/>
  <c r="AI31" i="1"/>
  <c r="AI5" i="1"/>
  <c r="J11" i="5" s="1"/>
  <c r="K12" i="5" s="1"/>
  <c r="AI22" i="1"/>
  <c r="J62" i="5" s="1"/>
  <c r="K63" i="5" s="1"/>
  <c r="AI25" i="1"/>
  <c r="J71" i="5" s="1"/>
  <c r="K72" i="5" s="1"/>
  <c r="AI23" i="1"/>
  <c r="J65" i="5" s="1"/>
  <c r="K66" i="5" s="1"/>
  <c r="AI8" i="1"/>
  <c r="J20" i="5" s="1"/>
  <c r="K21" i="5" s="1"/>
  <c r="AI27" i="1"/>
  <c r="AI19" i="1"/>
  <c r="J53" i="5" s="1"/>
  <c r="K54" i="5" s="1"/>
  <c r="AI9" i="1"/>
  <c r="J23" i="5" s="1"/>
  <c r="K24" i="5" s="1"/>
  <c r="AI18" i="1"/>
  <c r="J50" i="5" s="1"/>
  <c r="K51" i="5" s="1"/>
  <c r="AI36" i="1"/>
  <c r="J104" i="5" s="1"/>
  <c r="K105" i="5" s="1"/>
  <c r="AI10" i="1"/>
  <c r="J26" i="5" s="1"/>
  <c r="K27" i="5" s="1"/>
  <c r="AI4" i="1"/>
  <c r="J8" i="5" s="1"/>
  <c r="K9" i="5" s="1"/>
  <c r="AI12" i="1"/>
  <c r="J32" i="5" s="1"/>
  <c r="K33" i="5" s="1"/>
  <c r="AI3" i="1"/>
  <c r="J5" i="5" s="1"/>
  <c r="K6" i="5" s="1"/>
  <c r="AI7" i="1"/>
  <c r="J17" i="5" s="1"/>
  <c r="K18" i="5" s="1"/>
  <c r="AI43" i="1"/>
  <c r="J125" i="5" s="1"/>
  <c r="AI41" i="1"/>
  <c r="J119" i="5" s="1"/>
  <c r="K120" i="5" s="1"/>
  <c r="AI44" i="1"/>
  <c r="AI30" i="1"/>
  <c r="J86" i="5" s="1"/>
  <c r="K87" i="5" s="1"/>
  <c r="AI11" i="1"/>
  <c r="J29" i="5" s="1"/>
  <c r="K30" i="5" s="1"/>
  <c r="AI2" i="1"/>
  <c r="J2" i="5" s="1"/>
  <c r="K3" i="5" s="1"/>
  <c r="M52" i="13"/>
  <c r="J14" i="5"/>
  <c r="K15" i="5" s="1"/>
  <c r="M55" i="13"/>
  <c r="P45" i="1"/>
  <c r="S45" i="1" s="1"/>
  <c r="P44" i="1"/>
  <c r="Q14" i="1"/>
  <c r="T14" i="1" s="1"/>
  <c r="G47" i="24"/>
  <c r="M42" i="13"/>
  <c r="P22" i="1"/>
  <c r="J35" i="5"/>
  <c r="K36" i="5" s="1"/>
  <c r="Q17" i="1"/>
  <c r="M53" i="13" s="1"/>
  <c r="J6" i="54"/>
  <c r="D2" i="54"/>
  <c r="J83" i="5"/>
  <c r="K84" i="5" s="1"/>
  <c r="K6" i="54"/>
  <c r="P12" i="1"/>
  <c r="S12" i="1" s="1"/>
  <c r="P37" i="1"/>
  <c r="S37" i="1" s="1"/>
  <c r="G68" i="24"/>
  <c r="G101" i="24"/>
  <c r="M51" i="13"/>
  <c r="P35" i="1"/>
  <c r="P40" i="1"/>
  <c r="S40" i="1" s="1"/>
  <c r="M56" i="13"/>
  <c r="Q38" i="1"/>
  <c r="T38" i="1" s="1"/>
  <c r="P8" i="1"/>
  <c r="G59" i="24"/>
  <c r="J44" i="5"/>
  <c r="K45" i="5" s="1"/>
  <c r="G38" i="24"/>
  <c r="J74" i="5"/>
  <c r="P36" i="1"/>
  <c r="T51" i="1" l="1"/>
  <c r="I149" i="5" s="1"/>
  <c r="T48" i="1"/>
  <c r="AH11" i="5"/>
  <c r="F146" i="24"/>
  <c r="AM26" i="5"/>
  <c r="G146" i="24"/>
  <c r="K147" i="5"/>
  <c r="T49" i="1"/>
  <c r="I143" i="5" s="1"/>
  <c r="F143" i="24" s="1"/>
  <c r="K42" i="5"/>
  <c r="Q50" i="22"/>
  <c r="K126" i="5"/>
  <c r="AM30" i="5"/>
  <c r="K75" i="5"/>
  <c r="S60" i="13"/>
  <c r="S50" i="13"/>
  <c r="S34" i="13"/>
  <c r="S52" i="13"/>
  <c r="S13" i="13"/>
  <c r="Q16" i="22"/>
  <c r="I8" i="5"/>
  <c r="S64" i="13"/>
  <c r="I59" i="5"/>
  <c r="S14" i="13"/>
  <c r="I2" i="5"/>
  <c r="I122" i="5"/>
  <c r="I71" i="5"/>
  <c r="I44" i="5"/>
  <c r="S9" i="13"/>
  <c r="M18" i="13"/>
  <c r="S46" i="13"/>
  <c r="I77" i="5"/>
  <c r="S18" i="13"/>
  <c r="I26" i="5"/>
  <c r="I5" i="5"/>
  <c r="I134" i="5"/>
  <c r="F134" i="24" s="1"/>
  <c r="I137" i="5"/>
  <c r="F137" i="24" s="1"/>
  <c r="S29" i="13"/>
  <c r="J107" i="5"/>
  <c r="J89" i="5"/>
  <c r="J77" i="5"/>
  <c r="AM10" i="5" s="1"/>
  <c r="J80" i="5"/>
  <c r="J122" i="5"/>
  <c r="K123" i="5" s="1"/>
  <c r="J128" i="5"/>
  <c r="AM42" i="5" s="1"/>
  <c r="J92" i="5"/>
  <c r="J95" i="5"/>
  <c r="K96" i="5" s="1"/>
  <c r="J98" i="5"/>
  <c r="J131" i="5"/>
  <c r="J110" i="5"/>
  <c r="T17" i="1"/>
  <c r="I47" i="5" s="1"/>
  <c r="M13" i="13"/>
  <c r="G125" i="24"/>
  <c r="G14" i="24"/>
  <c r="G41" i="24"/>
  <c r="G8" i="24"/>
  <c r="G53" i="24"/>
  <c r="I86" i="5"/>
  <c r="T11" i="1"/>
  <c r="S17" i="13" s="1"/>
  <c r="I50" i="5"/>
  <c r="M27" i="13"/>
  <c r="I89" i="5"/>
  <c r="S19" i="1"/>
  <c r="T19" i="1" s="1"/>
  <c r="I56" i="5"/>
  <c r="T29" i="1"/>
  <c r="T32" i="1"/>
  <c r="S11" i="13" s="1"/>
  <c r="T33" i="1"/>
  <c r="T34" i="1"/>
  <c r="T23" i="1"/>
  <c r="S33" i="13" s="1"/>
  <c r="T15" i="1"/>
  <c r="S62" i="13" s="1"/>
  <c r="T40" i="1"/>
  <c r="S22" i="13" s="1"/>
  <c r="T12" i="1"/>
  <c r="T13" i="1"/>
  <c r="T5" i="1"/>
  <c r="S8" i="13" s="1"/>
  <c r="T41" i="1"/>
  <c r="S23" i="13" s="1"/>
  <c r="T26" i="1"/>
  <c r="T45" i="1"/>
  <c r="S30" i="13" s="1"/>
  <c r="T37" i="1"/>
  <c r="S26" i="13" s="1"/>
  <c r="M6" i="13"/>
  <c r="M12" i="13"/>
  <c r="M9" i="13"/>
  <c r="AM21" i="5"/>
  <c r="D5" i="54"/>
  <c r="J2" i="54"/>
  <c r="M10" i="13"/>
  <c r="M44" i="13"/>
  <c r="M20" i="13"/>
  <c r="M58" i="13"/>
  <c r="M43" i="13"/>
  <c r="M4" i="13"/>
  <c r="M54" i="13"/>
  <c r="M31" i="13"/>
  <c r="I113" i="5"/>
  <c r="M50" i="13"/>
  <c r="M40" i="13"/>
  <c r="M8" i="13"/>
  <c r="M38" i="13"/>
  <c r="M16" i="13"/>
  <c r="M45" i="13"/>
  <c r="J4" i="54"/>
  <c r="D3" i="54"/>
  <c r="J3" i="54"/>
  <c r="D6" i="54"/>
  <c r="G116" i="24"/>
  <c r="J5" i="54"/>
  <c r="D4" i="54"/>
  <c r="G62" i="24"/>
  <c r="G65" i="24"/>
  <c r="G20" i="24"/>
  <c r="G11" i="24"/>
  <c r="G71" i="24"/>
  <c r="AM17" i="5"/>
  <c r="G50" i="24"/>
  <c r="G5" i="24"/>
  <c r="G2" i="24"/>
  <c r="AM16" i="5"/>
  <c r="AM8" i="5"/>
  <c r="S35" i="1"/>
  <c r="I68" i="5"/>
  <c r="I125" i="5"/>
  <c r="S44" i="1"/>
  <c r="T44" i="1" s="1"/>
  <c r="S31" i="13" s="1"/>
  <c r="AM36" i="5"/>
  <c r="AM48" i="5"/>
  <c r="AM14" i="5"/>
  <c r="G113" i="24"/>
  <c r="S36" i="1"/>
  <c r="T36" i="1" s="1"/>
  <c r="S8" i="1"/>
  <c r="S22" i="1"/>
  <c r="M14" i="13" s="1"/>
  <c r="G17" i="24"/>
  <c r="I17" i="5"/>
  <c r="M35" i="13"/>
  <c r="AM3" i="5"/>
  <c r="I110" i="5"/>
  <c r="I38" i="5"/>
  <c r="I23" i="5"/>
  <c r="G104" i="24"/>
  <c r="G35" i="24"/>
  <c r="G32" i="24"/>
  <c r="G29" i="24"/>
  <c r="I14" i="5"/>
  <c r="M21" i="13"/>
  <c r="G44" i="24"/>
  <c r="G23" i="24"/>
  <c r="G119" i="24"/>
  <c r="G86" i="24"/>
  <c r="G26" i="24"/>
  <c r="G83" i="24"/>
  <c r="G74" i="24"/>
  <c r="I80" i="5"/>
  <c r="F149" i="24" l="1"/>
  <c r="AH31" i="5"/>
  <c r="I140" i="5"/>
  <c r="F140" i="24" s="1"/>
  <c r="S5" i="13"/>
  <c r="S25" i="13"/>
  <c r="S27" i="13"/>
  <c r="AM12" i="5"/>
  <c r="Q51" i="22"/>
  <c r="K93" i="5"/>
  <c r="AM51" i="5"/>
  <c r="Q46" i="22"/>
  <c r="AM29" i="5"/>
  <c r="K111" i="5"/>
  <c r="AM47" i="5"/>
  <c r="AM38" i="5"/>
  <c r="Q47" i="22"/>
  <c r="AM7" i="5"/>
  <c r="Q48" i="22"/>
  <c r="AM11" i="5"/>
  <c r="Q49" i="22"/>
  <c r="K132" i="5"/>
  <c r="AM20" i="5"/>
  <c r="K108" i="5"/>
  <c r="AM13" i="5"/>
  <c r="K129" i="5"/>
  <c r="AM15" i="5"/>
  <c r="K90" i="5"/>
  <c r="AM44" i="5"/>
  <c r="K99" i="5"/>
  <c r="AM4" i="5"/>
  <c r="S4" i="13"/>
  <c r="Q42" i="22"/>
  <c r="Q4" i="22"/>
  <c r="Q26" i="22"/>
  <c r="Q37" i="22"/>
  <c r="Q22" i="22"/>
  <c r="Q7" i="22"/>
  <c r="Q12" i="22"/>
  <c r="Q6" i="22"/>
  <c r="Q21" i="22"/>
  <c r="Q25" i="22"/>
  <c r="Q9" i="22"/>
  <c r="Q19" i="22"/>
  <c r="Q38" i="22"/>
  <c r="Q32" i="22"/>
  <c r="Q24" i="22"/>
  <c r="Q36" i="22"/>
  <c r="Q20" i="22"/>
  <c r="Q41" i="22"/>
  <c r="Q35" i="22"/>
  <c r="Q34" i="22"/>
  <c r="Q3" i="22"/>
  <c r="Q30" i="22"/>
  <c r="K81" i="5"/>
  <c r="Q8" i="22"/>
  <c r="Q2" i="22"/>
  <c r="S3" i="13"/>
  <c r="S28" i="13"/>
  <c r="S21" i="13"/>
  <c r="S42" i="13"/>
  <c r="S24" i="13"/>
  <c r="S12" i="13"/>
  <c r="S15" i="13"/>
  <c r="Q27" i="22"/>
  <c r="K78" i="5"/>
  <c r="Q13" i="22"/>
  <c r="Q33" i="22"/>
  <c r="Q11" i="22"/>
  <c r="Q44" i="22"/>
  <c r="Q28" i="22"/>
  <c r="Q45" i="22"/>
  <c r="Q29" i="22"/>
  <c r="Q17" i="22"/>
  <c r="F89" i="24"/>
  <c r="F71" i="24"/>
  <c r="F50" i="24"/>
  <c r="AM45" i="5"/>
  <c r="Q31" i="22"/>
  <c r="AH33" i="5"/>
  <c r="F122" i="24"/>
  <c r="AM32" i="5"/>
  <c r="Q14" i="22"/>
  <c r="F2" i="24"/>
  <c r="Q23" i="22"/>
  <c r="F26" i="24"/>
  <c r="Q10" i="22"/>
  <c r="F68" i="24"/>
  <c r="Q39" i="22"/>
  <c r="F77" i="24"/>
  <c r="F8" i="24"/>
  <c r="F56" i="24"/>
  <c r="Q43" i="22"/>
  <c r="F44" i="24"/>
  <c r="F86" i="24"/>
  <c r="AM28" i="5"/>
  <c r="Q40" i="22"/>
  <c r="F5" i="24"/>
  <c r="Q5" i="22"/>
  <c r="F59" i="24"/>
  <c r="Q18" i="22"/>
  <c r="Q15" i="22"/>
  <c r="AE2" i="13"/>
  <c r="I29" i="5"/>
  <c r="Y39" i="13"/>
  <c r="S16" i="13"/>
  <c r="M30" i="13"/>
  <c r="S20" i="13"/>
  <c r="I95" i="5"/>
  <c r="AE13" i="13"/>
  <c r="S38" i="13"/>
  <c r="AE4" i="13"/>
  <c r="S6" i="13"/>
  <c r="I11" i="5"/>
  <c r="S54" i="13"/>
  <c r="M26" i="13"/>
  <c r="S48" i="13"/>
  <c r="AM23" i="5"/>
  <c r="AM5" i="5"/>
  <c r="AM27" i="5"/>
  <c r="AM37" i="5"/>
  <c r="AM19" i="5"/>
  <c r="AM9" i="5"/>
  <c r="K2" i="54"/>
  <c r="AM2" i="5"/>
  <c r="AM46" i="5"/>
  <c r="AM41" i="5"/>
  <c r="AM50" i="5"/>
  <c r="AM24" i="5"/>
  <c r="AM31" i="5"/>
  <c r="AM33" i="5"/>
  <c r="AM40" i="5"/>
  <c r="AE8" i="13"/>
  <c r="AE6" i="13"/>
  <c r="M22" i="13"/>
  <c r="AE7" i="13"/>
  <c r="AE5" i="13"/>
  <c r="G107" i="24"/>
  <c r="AM34" i="5"/>
  <c r="F113" i="24"/>
  <c r="F125" i="24"/>
  <c r="AM22" i="5"/>
  <c r="G77" i="24"/>
  <c r="AM35" i="5"/>
  <c r="G95" i="24"/>
  <c r="AM39" i="5"/>
  <c r="G92" i="24"/>
  <c r="G128" i="24"/>
  <c r="G122" i="24"/>
  <c r="G110" i="24"/>
  <c r="G80" i="24"/>
  <c r="AM6" i="5"/>
  <c r="AM49" i="5"/>
  <c r="AM43" i="5"/>
  <c r="G89" i="24"/>
  <c r="G131" i="24"/>
  <c r="G98" i="24"/>
  <c r="I41" i="5"/>
  <c r="I92" i="5"/>
  <c r="I65" i="5"/>
  <c r="I53" i="5"/>
  <c r="Y22" i="13"/>
  <c r="Y38" i="13"/>
  <c r="M25" i="13"/>
  <c r="I74" i="5"/>
  <c r="M36" i="13"/>
  <c r="I119" i="5"/>
  <c r="AE14" i="13"/>
  <c r="I98" i="5"/>
  <c r="AE9" i="13"/>
  <c r="AK5" i="13"/>
  <c r="M34" i="13"/>
  <c r="I83" i="5"/>
  <c r="M7" i="13"/>
  <c r="T35" i="1"/>
  <c r="I35" i="5"/>
  <c r="T22" i="1"/>
  <c r="Y20" i="13" s="1"/>
  <c r="T8" i="1"/>
  <c r="S32" i="13" s="1"/>
  <c r="M32" i="13"/>
  <c r="M3" i="13"/>
  <c r="M5" i="13"/>
  <c r="Y17" i="13"/>
  <c r="K4" i="54"/>
  <c r="AM25" i="5"/>
  <c r="Y5" i="13"/>
  <c r="Y6" i="13"/>
  <c r="Y28" i="13"/>
  <c r="AK8" i="13"/>
  <c r="AK3" i="13"/>
  <c r="Y18" i="13"/>
  <c r="Y14" i="13"/>
  <c r="M29" i="13"/>
  <c r="AQ3" i="13"/>
  <c r="M61" i="13"/>
  <c r="M2" i="13"/>
  <c r="M17" i="13"/>
  <c r="M33" i="13"/>
  <c r="M37" i="13"/>
  <c r="M60" i="13"/>
  <c r="M23" i="13"/>
  <c r="AK4" i="13"/>
  <c r="M41" i="13"/>
  <c r="M48" i="13"/>
  <c r="M15" i="13"/>
  <c r="M47" i="13"/>
  <c r="Y8" i="13"/>
  <c r="Y11" i="13"/>
  <c r="Y25" i="13"/>
  <c r="Y15" i="13"/>
  <c r="M19" i="13"/>
  <c r="M59" i="13"/>
  <c r="M57" i="13"/>
  <c r="M24" i="13"/>
  <c r="I128" i="5"/>
  <c r="M11" i="13"/>
  <c r="M46" i="13"/>
  <c r="M49" i="13"/>
  <c r="I104" i="5"/>
  <c r="Y2" i="13"/>
  <c r="S2" i="13"/>
  <c r="AW2" i="13"/>
  <c r="AQ2" i="13"/>
  <c r="Y9" i="13"/>
  <c r="Y32" i="13"/>
  <c r="K5" i="54"/>
  <c r="AK2" i="13"/>
  <c r="I32" i="5"/>
  <c r="Y24" i="13"/>
  <c r="Y13" i="13"/>
  <c r="Y3" i="13"/>
  <c r="Y27" i="13"/>
  <c r="Y16" i="13"/>
  <c r="Y26" i="13"/>
  <c r="I107" i="5"/>
  <c r="F17" i="24"/>
  <c r="Y12" i="13"/>
  <c r="I131" i="5"/>
  <c r="Y7" i="13"/>
  <c r="I116" i="5"/>
  <c r="F80" i="24"/>
  <c r="F47" i="24"/>
  <c r="F23" i="24"/>
  <c r="F38" i="24"/>
  <c r="F110" i="24"/>
  <c r="F14" i="24"/>
  <c r="R18" i="22" l="1"/>
  <c r="R50" i="22"/>
  <c r="K146" i="5"/>
  <c r="R46" i="22"/>
  <c r="R47" i="22"/>
  <c r="R51" i="22"/>
  <c r="K143" i="5"/>
  <c r="K149" i="5"/>
  <c r="K140" i="5"/>
  <c r="AO18" i="5"/>
  <c r="AO11" i="5"/>
  <c r="AO7" i="5"/>
  <c r="AO26" i="5"/>
  <c r="R19" i="22"/>
  <c r="AH32" i="5"/>
  <c r="AH23" i="5"/>
  <c r="AH36" i="5"/>
  <c r="R48" i="22"/>
  <c r="AH14" i="5"/>
  <c r="R49" i="22"/>
  <c r="Y10" i="13"/>
  <c r="S19" i="13"/>
  <c r="AK6" i="13"/>
  <c r="AE3" i="13"/>
  <c r="S7" i="13"/>
  <c r="S10" i="13"/>
  <c r="S36" i="13"/>
  <c r="R41" i="22"/>
  <c r="K134" i="5"/>
  <c r="R36" i="22"/>
  <c r="R45" i="22"/>
  <c r="AE15" i="13"/>
  <c r="K74" i="5"/>
  <c r="K26" i="5"/>
  <c r="K50" i="5"/>
  <c r="K23" i="5"/>
  <c r="K53" i="5"/>
  <c r="K71" i="5"/>
  <c r="K113" i="5"/>
  <c r="K2" i="5"/>
  <c r="K65" i="5"/>
  <c r="K59" i="5"/>
  <c r="K116" i="5"/>
  <c r="R34" i="22"/>
  <c r="R28" i="22"/>
  <c r="R27" i="22"/>
  <c r="K32" i="5"/>
  <c r="K20" i="5"/>
  <c r="K95" i="5"/>
  <c r="K77" i="5"/>
  <c r="K119" i="5"/>
  <c r="Y30" i="13"/>
  <c r="K35" i="5"/>
  <c r="R38" i="22"/>
  <c r="K83" i="5"/>
  <c r="Y29" i="13"/>
  <c r="K47" i="5"/>
  <c r="K44" i="5"/>
  <c r="K86" i="5"/>
  <c r="K14" i="5"/>
  <c r="K41" i="5"/>
  <c r="K68" i="5"/>
  <c r="K131" i="5"/>
  <c r="K80" i="5"/>
  <c r="K122" i="5"/>
  <c r="K107" i="5"/>
  <c r="K92" i="5"/>
  <c r="K125" i="5"/>
  <c r="R39" i="22"/>
  <c r="K98" i="5"/>
  <c r="K5" i="5"/>
  <c r="K128" i="5"/>
  <c r="K38" i="5"/>
  <c r="K8" i="5"/>
  <c r="K89" i="5"/>
  <c r="K29" i="5"/>
  <c r="K104" i="5"/>
  <c r="K56" i="5"/>
  <c r="K101" i="5"/>
  <c r="K137" i="5"/>
  <c r="K110" i="5"/>
  <c r="K62" i="5"/>
  <c r="K17" i="5"/>
  <c r="K11" i="5"/>
  <c r="S56" i="13"/>
  <c r="S58" i="13"/>
  <c r="R37" i="22"/>
  <c r="R40" i="22"/>
  <c r="R43" i="22"/>
  <c r="R17" i="22"/>
  <c r="Q54" i="22"/>
  <c r="R25" i="34" s="1"/>
  <c r="F83" i="24"/>
  <c r="F92" i="24"/>
  <c r="F35" i="24"/>
  <c r="R2" i="22"/>
  <c r="F65" i="24"/>
  <c r="R42" i="22"/>
  <c r="F95" i="24"/>
  <c r="F41" i="24"/>
  <c r="F53" i="24"/>
  <c r="F98" i="24"/>
  <c r="F29" i="24"/>
  <c r="R44" i="22"/>
  <c r="F11" i="24"/>
  <c r="F74" i="24"/>
  <c r="O26" i="34"/>
  <c r="M26" i="34" s="1"/>
  <c r="P26" i="34" s="1"/>
  <c r="O25" i="34"/>
  <c r="M25" i="34" s="1"/>
  <c r="P25" i="34" s="1"/>
  <c r="S40" i="13"/>
  <c r="AE11" i="13"/>
  <c r="AH2" i="5"/>
  <c r="AE16" i="13"/>
  <c r="S44" i="13"/>
  <c r="AO4" i="5"/>
  <c r="AO47" i="5"/>
  <c r="AE17" i="13"/>
  <c r="AH39" i="5"/>
  <c r="AE12" i="13"/>
  <c r="Y23" i="13"/>
  <c r="AH47" i="5"/>
  <c r="AK7" i="13"/>
  <c r="AQ4" i="13"/>
  <c r="Y19" i="13"/>
  <c r="AE10" i="13"/>
  <c r="AH9" i="5"/>
  <c r="Y4" i="13"/>
  <c r="Y21" i="13"/>
  <c r="AO10" i="5"/>
  <c r="F119" i="24"/>
  <c r="AH16" i="5"/>
  <c r="AH51" i="5"/>
  <c r="F104" i="24"/>
  <c r="K3" i="54"/>
  <c r="AH8" i="5"/>
  <c r="AW3" i="13"/>
  <c r="AQ5" i="13"/>
  <c r="AK9" i="13"/>
  <c r="I20" i="5"/>
  <c r="R12" i="22" s="1"/>
  <c r="I101" i="5"/>
  <c r="AH18" i="5" s="1"/>
  <c r="Y33" i="13"/>
  <c r="I62" i="5"/>
  <c r="R32" i="22" s="1"/>
  <c r="AH46" i="5"/>
  <c r="Y31" i="13"/>
  <c r="M28" i="13"/>
  <c r="AH4" i="5"/>
  <c r="AH44" i="5"/>
  <c r="S37" i="34"/>
  <c r="AO32" i="5"/>
  <c r="AO34" i="5"/>
  <c r="AO27" i="5"/>
  <c r="AO23" i="5"/>
  <c r="AO17" i="5"/>
  <c r="AO38" i="5"/>
  <c r="AO42" i="5"/>
  <c r="AO22" i="5"/>
  <c r="AO14" i="5"/>
  <c r="AO31" i="5"/>
  <c r="AO50" i="5"/>
  <c r="AO24" i="5"/>
  <c r="S34" i="34"/>
  <c r="AO46" i="5"/>
  <c r="AO51" i="5"/>
  <c r="AO30" i="5"/>
  <c r="AO29" i="5"/>
  <c r="AO35" i="5"/>
  <c r="AO48" i="5"/>
  <c r="AO33" i="5"/>
  <c r="AO15" i="5"/>
  <c r="AO28" i="5"/>
  <c r="AO2" i="5"/>
  <c r="AO45" i="5"/>
  <c r="AO21" i="5"/>
  <c r="AO36" i="5"/>
  <c r="AO12" i="5"/>
  <c r="AO3" i="5"/>
  <c r="AO5" i="5"/>
  <c r="AO37" i="5"/>
  <c r="AO49" i="5"/>
  <c r="AO19" i="5"/>
  <c r="AO20" i="5"/>
  <c r="AO39" i="5"/>
  <c r="AO41" i="5"/>
  <c r="AO13" i="5"/>
  <c r="AO6" i="5"/>
  <c r="AO8" i="5"/>
  <c r="AO40" i="5"/>
  <c r="AO16" i="5"/>
  <c r="AO44" i="5"/>
  <c r="AO25" i="5"/>
  <c r="AO9" i="5"/>
  <c r="AO43" i="5"/>
  <c r="AH26" i="5"/>
  <c r="AH29" i="5"/>
  <c r="AH41" i="5"/>
  <c r="AH12" i="5"/>
  <c r="F128" i="24"/>
  <c r="AH13" i="5"/>
  <c r="AH7" i="5"/>
  <c r="AH10" i="5"/>
  <c r="AH27" i="5"/>
  <c r="AH42" i="5"/>
  <c r="AH6" i="5"/>
  <c r="AH20" i="5"/>
  <c r="AH21" i="5"/>
  <c r="AH28" i="5"/>
  <c r="AH17" i="5"/>
  <c r="AH34" i="5"/>
  <c r="F32" i="24"/>
  <c r="AH3" i="5"/>
  <c r="F107" i="24"/>
  <c r="AH25" i="5"/>
  <c r="F116" i="24"/>
  <c r="F131" i="24"/>
  <c r="R29" i="22" l="1"/>
  <c r="R33" i="22"/>
  <c r="AH38" i="5"/>
  <c r="R16" i="22"/>
  <c r="K1" i="5"/>
  <c r="R3" i="22"/>
  <c r="AQ1" i="5"/>
  <c r="AH30" i="5"/>
  <c r="AH49" i="5"/>
  <c r="R9" i="22"/>
  <c r="R35" i="22"/>
  <c r="R23" i="22"/>
  <c r="R22" i="22"/>
  <c r="R7" i="22"/>
  <c r="R10" i="22"/>
  <c r="R24" i="22"/>
  <c r="R25" i="22"/>
  <c r="R11" i="22"/>
  <c r="R30" i="22"/>
  <c r="R4" i="22"/>
  <c r="R8" i="22"/>
  <c r="R5" i="22"/>
  <c r="R14" i="22"/>
  <c r="R13" i="22"/>
  <c r="R26" i="22"/>
  <c r="R31" i="22"/>
  <c r="R15" i="22"/>
  <c r="R20" i="22"/>
  <c r="R21" i="22"/>
  <c r="AH35" i="5"/>
  <c r="R6" i="22"/>
  <c r="AH43" i="5"/>
  <c r="F20" i="24"/>
  <c r="AH50" i="5"/>
  <c r="AH45" i="5"/>
  <c r="AH37" i="5"/>
  <c r="AH24" i="5"/>
  <c r="AH48" i="5"/>
  <c r="F101" i="24"/>
  <c r="AH22" i="5"/>
  <c r="AH5" i="5"/>
  <c r="AH15" i="5"/>
  <c r="AH19" i="5"/>
  <c r="AH40" i="5"/>
  <c r="F62" i="24"/>
  <c r="AJ31" i="5" l="1"/>
  <c r="AJ14" i="5"/>
  <c r="L143" i="5" s="1"/>
  <c r="AJ36" i="5"/>
  <c r="L140" i="5" s="1"/>
  <c r="AJ11" i="5"/>
  <c r="R54" i="22"/>
  <c r="R26" i="34" s="1"/>
  <c r="AJ23" i="5"/>
  <c r="AJ20" i="5"/>
  <c r="AJ48" i="5"/>
  <c r="AJ6" i="5"/>
  <c r="AJ33" i="5"/>
  <c r="AJ3" i="5"/>
  <c r="AJ42" i="5"/>
  <c r="AJ43" i="5"/>
  <c r="AJ27" i="5"/>
  <c r="AJ29" i="5"/>
  <c r="AJ50" i="5"/>
  <c r="AJ4" i="5"/>
  <c r="AJ46" i="5"/>
  <c r="AJ30" i="5"/>
  <c r="AJ34" i="5"/>
  <c r="AJ18" i="5"/>
  <c r="AJ41" i="5"/>
  <c r="AJ2" i="5"/>
  <c r="AJ35" i="5"/>
  <c r="AJ7" i="5"/>
  <c r="AJ19" i="5"/>
  <c r="AJ9" i="5"/>
  <c r="AJ21" i="5"/>
  <c r="AJ38" i="5"/>
  <c r="AJ49" i="5"/>
  <c r="AJ51" i="5"/>
  <c r="AJ17" i="5"/>
  <c r="AJ22" i="5"/>
  <c r="AJ32" i="5"/>
  <c r="AJ5" i="5"/>
  <c r="AJ12" i="5"/>
  <c r="AJ28" i="5"/>
  <c r="AJ10" i="5"/>
  <c r="AJ45" i="5"/>
  <c r="AJ25" i="5"/>
  <c r="AJ37" i="5"/>
  <c r="AJ15" i="5"/>
  <c r="AJ39" i="5"/>
  <c r="AJ26" i="5"/>
  <c r="AJ47" i="5"/>
  <c r="AJ40" i="5"/>
  <c r="AJ13" i="5"/>
  <c r="AJ8" i="5"/>
  <c r="AJ16" i="5"/>
  <c r="AJ24" i="5"/>
  <c r="AJ44" i="5"/>
  <c r="G2" i="54"/>
  <c r="G6" i="54"/>
  <c r="G4" i="54"/>
  <c r="L149" i="5" l="1"/>
  <c r="L146" i="5"/>
  <c r="L134" i="5"/>
  <c r="L116" i="5"/>
  <c r="L44" i="5"/>
  <c r="L110" i="5"/>
  <c r="L14" i="5"/>
  <c r="L131" i="5"/>
  <c r="L8" i="5"/>
  <c r="L92" i="5"/>
  <c r="L74" i="5"/>
  <c r="L23" i="5"/>
  <c r="L53" i="5"/>
  <c r="L38" i="5"/>
  <c r="L2" i="5"/>
  <c r="L128" i="5"/>
  <c r="L50" i="5"/>
  <c r="L17" i="5"/>
  <c r="L101" i="5"/>
  <c r="L89" i="5"/>
  <c r="L56" i="5"/>
  <c r="L80" i="5"/>
  <c r="L41" i="5"/>
  <c r="L95" i="5"/>
  <c r="L122" i="5"/>
  <c r="L29" i="5"/>
  <c r="L32" i="5"/>
  <c r="L59" i="5"/>
  <c r="L119" i="5"/>
  <c r="L71" i="5"/>
  <c r="L113" i="5"/>
  <c r="L11" i="5"/>
  <c r="L5" i="5"/>
  <c r="L137" i="5"/>
  <c r="L77" i="5"/>
  <c r="L104" i="5"/>
  <c r="L98" i="5"/>
  <c r="L26" i="5"/>
  <c r="L62" i="5"/>
  <c r="L68" i="5"/>
  <c r="L20" i="5"/>
  <c r="L83" i="5"/>
  <c r="L125" i="5"/>
  <c r="L107" i="5"/>
  <c r="L47" i="5"/>
  <c r="L86" i="5"/>
  <c r="L65" i="5"/>
  <c r="L35" i="5"/>
  <c r="G3" i="54"/>
  <c r="G5" i="5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Chris Griffin</author>
  </authors>
  <commentList>
    <comment ref="A1" authorId="0" shapeId="0" xr:uid="{00000000-0006-0000-0200-000001000000}">
      <text>
        <r>
          <rPr>
            <b/>
            <sz val="9"/>
            <color indexed="81"/>
            <rFont val="Tahoma"/>
            <family val="2"/>
          </rPr>
          <t>Copy values to column D at start of week</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Chris Griffin</author>
  </authors>
  <commentList>
    <comment ref="A11" authorId="0" shapeId="0" xr:uid="{00000000-0006-0000-0900-000001000000}">
      <text>
        <r>
          <rPr>
            <b/>
            <sz val="9"/>
            <color indexed="9"/>
            <rFont val="Tahoma"/>
            <family val="2"/>
          </rPr>
          <t>Create a list of random numbers equal to the number of entrants via the link and save to a  text file. Then transpose into excel and paste into column D then sort D/E in numerical order. 
Copy and paste names into relevant Preliminary and R1 cells. Further rounds are calculated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Chris Griffin</author>
  </authors>
  <commentList>
    <comment ref="B23" authorId="0" shapeId="0" xr:uid="{00000000-0006-0000-1000-000001000000}">
      <text>
        <r>
          <rPr>
            <b/>
            <sz val="9"/>
            <color indexed="9"/>
            <rFont val="Tahoma"/>
            <family val="2"/>
          </rPr>
          <t>Add the total of any deductions to prize find due to prior non-payment and add details here:-
Andy Hargreaves never entered</t>
        </r>
      </text>
    </comment>
  </commentList>
</comments>
</file>

<file path=xl/sharedStrings.xml><?xml version="1.0" encoding="utf-8"?>
<sst xmlns="http://schemas.openxmlformats.org/spreadsheetml/2006/main" count="2535" uniqueCount="652">
  <si>
    <t>single 1</t>
  </si>
  <si>
    <t>single 2</t>
  </si>
  <si>
    <t>single 3</t>
  </si>
  <si>
    <t>double 1</t>
  </si>
  <si>
    <t>double 2</t>
  </si>
  <si>
    <t>double 3</t>
  </si>
  <si>
    <t>total</t>
  </si>
  <si>
    <t>team</t>
  </si>
  <si>
    <t>frac</t>
  </si>
  <si>
    <t>dec</t>
  </si>
  <si>
    <t>win</t>
  </si>
  <si>
    <t>bet up</t>
  </si>
  <si>
    <t>treble</t>
  </si>
  <si>
    <t>Correct</t>
  </si>
  <si>
    <t>bets in</t>
  </si>
  <si>
    <t>played</t>
  </si>
  <si>
    <t>Player</t>
  </si>
  <si>
    <t xml:space="preserve">Bet up </t>
  </si>
  <si>
    <t>Final</t>
  </si>
  <si>
    <t>Results</t>
  </si>
  <si>
    <t>Home team</t>
  </si>
  <si>
    <t>Away team</t>
  </si>
  <si>
    <t>Home win odds</t>
  </si>
  <si>
    <t>Draw odds</t>
  </si>
  <si>
    <t>Away odds</t>
  </si>
  <si>
    <t>Prediction</t>
  </si>
  <si>
    <t>fractional</t>
  </si>
  <si>
    <t>decimal</t>
  </si>
  <si>
    <t>Score</t>
  </si>
  <si>
    <t>stake</t>
  </si>
  <si>
    <t>Date</t>
  </si>
  <si>
    <t>Odds</t>
  </si>
  <si>
    <t>Home</t>
  </si>
  <si>
    <t>Away</t>
  </si>
  <si>
    <t>H1</t>
  </si>
  <si>
    <t>H2</t>
  </si>
  <si>
    <t>D1</t>
  </si>
  <si>
    <t>D2</t>
  </si>
  <si>
    <t>A1</t>
  </si>
  <si>
    <t>A2</t>
  </si>
  <si>
    <t>Match Odds</t>
  </si>
  <si>
    <t>Home odds</t>
  </si>
  <si>
    <t>Away Odds</t>
  </si>
  <si>
    <t>Draw Odds</t>
  </si>
  <si>
    <t>H Score</t>
  </si>
  <si>
    <t>A Score</t>
  </si>
  <si>
    <t>Home Trim</t>
  </si>
  <si>
    <t>Away Trim</t>
  </si>
  <si>
    <t>Choices</t>
  </si>
  <si>
    <t xml:space="preserve">HS Trim </t>
  </si>
  <si>
    <t>AS Trim</t>
  </si>
  <si>
    <t>Bet Up</t>
  </si>
  <si>
    <t>Up</t>
  </si>
  <si>
    <t>Points</t>
  </si>
  <si>
    <t>Frac</t>
  </si>
  <si>
    <t>Dec</t>
  </si>
  <si>
    <t>Home
score</t>
  </si>
  <si>
    <t>Away
score</t>
  </si>
  <si>
    <t>W1</t>
  </si>
  <si>
    <t>W1Q</t>
  </si>
  <si>
    <t>W2</t>
  </si>
  <si>
    <t>W2Q</t>
  </si>
  <si>
    <t>W3</t>
  </si>
  <si>
    <t>W3Q</t>
  </si>
  <si>
    <t>W4</t>
  </si>
  <si>
    <t>W4Q</t>
  </si>
  <si>
    <t>W5</t>
  </si>
  <si>
    <t>W5Q</t>
  </si>
  <si>
    <t>W6</t>
  </si>
  <si>
    <t>W6Q</t>
  </si>
  <si>
    <t>W7</t>
  </si>
  <si>
    <t>W7Q</t>
  </si>
  <si>
    <t>W8</t>
  </si>
  <si>
    <t>W8Q</t>
  </si>
  <si>
    <t>W9</t>
  </si>
  <si>
    <t>W9Q</t>
  </si>
  <si>
    <t>W10</t>
  </si>
  <si>
    <t>W10Q</t>
  </si>
  <si>
    <t>W11</t>
  </si>
  <si>
    <t>W11Q</t>
  </si>
  <si>
    <t>W12</t>
  </si>
  <si>
    <t>W12Q</t>
  </si>
  <si>
    <t>W13</t>
  </si>
  <si>
    <t>W14Q</t>
  </si>
  <si>
    <t>W15</t>
  </si>
  <si>
    <t>W15Q</t>
  </si>
  <si>
    <t>W13Q</t>
  </si>
  <si>
    <t>W14</t>
  </si>
  <si>
    <t>W16</t>
  </si>
  <si>
    <t>W16Q</t>
  </si>
  <si>
    <t>W17</t>
  </si>
  <si>
    <t>W17Q</t>
  </si>
  <si>
    <t>W18</t>
  </si>
  <si>
    <t>W18Q</t>
  </si>
  <si>
    <t>W19</t>
  </si>
  <si>
    <t>W19Q</t>
  </si>
  <si>
    <t>W20</t>
  </si>
  <si>
    <t>W20Q</t>
  </si>
  <si>
    <t>Seas</t>
  </si>
  <si>
    <t>SeasQ</t>
  </si>
  <si>
    <t>Rank Seas</t>
  </si>
  <si>
    <t>Rank Wk</t>
  </si>
  <si>
    <t>Prize</t>
  </si>
  <si>
    <t>W1P</t>
  </si>
  <si>
    <t>W2P</t>
  </si>
  <si>
    <t>W3P</t>
  </si>
  <si>
    <t>W4P</t>
  </si>
  <si>
    <t>W5P</t>
  </si>
  <si>
    <t>W6P</t>
  </si>
  <si>
    <t>W7P</t>
  </si>
  <si>
    <t>W8P</t>
  </si>
  <si>
    <t>W9P</t>
  </si>
  <si>
    <t>W10P</t>
  </si>
  <si>
    <t>W11P</t>
  </si>
  <si>
    <t>W12P</t>
  </si>
  <si>
    <t>W13P</t>
  </si>
  <si>
    <t>W14P</t>
  </si>
  <si>
    <t>W15P</t>
  </si>
  <si>
    <t>W16P</t>
  </si>
  <si>
    <t>W17P</t>
  </si>
  <si>
    <t>W18P</t>
  </si>
  <si>
    <t>W19P</t>
  </si>
  <si>
    <t>W20P</t>
  </si>
  <si>
    <t>SeasP</t>
  </si>
  <si>
    <t>Total
Score</t>
  </si>
  <si>
    <t>Total
correct</t>
  </si>
  <si>
    <t>Week
Score</t>
  </si>
  <si>
    <t>Week
Correct</t>
  </si>
  <si>
    <t>Current Round</t>
  </si>
  <si>
    <t>Draw #</t>
  </si>
  <si>
    <t>Entrants</t>
  </si>
  <si>
    <t>Round 1 Rep</t>
  </si>
  <si>
    <t>Round 2</t>
  </si>
  <si>
    <t>Round 2 Rep</t>
  </si>
  <si>
    <t xml:space="preserve">Round 3 </t>
  </si>
  <si>
    <t>Round 3 Rep</t>
  </si>
  <si>
    <t>Semi-Final</t>
  </si>
  <si>
    <t>Earlier ties</t>
  </si>
  <si>
    <t>Total</t>
  </si>
  <si>
    <t>Grand Total</t>
  </si>
  <si>
    <t>Count of Player</t>
  </si>
  <si>
    <t>Random number generator</t>
  </si>
  <si>
    <t>Competition</t>
  </si>
  <si>
    <t>Fee pp per season</t>
  </si>
  <si>
    <t>Number of weeks</t>
  </si>
  <si>
    <t>Number of £10 highest weekly score prize</t>
  </si>
  <si>
    <t>Number of £5 weekly prizes</t>
  </si>
  <si>
    <t>Weekly payouts</t>
  </si>
  <si>
    <t>Cup winner</t>
  </si>
  <si>
    <t>Cup runner-up</t>
  </si>
  <si>
    <t>Cup payouts</t>
  </si>
  <si>
    <t>Balance</t>
  </si>
  <si>
    <t>Result</t>
  </si>
  <si>
    <t>Fraction</t>
  </si>
  <si>
    <t>Decimal</t>
  </si>
  <si>
    <t>Bet1</t>
  </si>
  <si>
    <t>Bet2</t>
  </si>
  <si>
    <t>Bet3</t>
  </si>
  <si>
    <t>Max</t>
  </si>
  <si>
    <t>Pred1</t>
  </si>
  <si>
    <t>Pred2</t>
  </si>
  <si>
    <t>Pred3</t>
  </si>
  <si>
    <t>Cup
Prize</t>
  </si>
  <si>
    <t>Name</t>
  </si>
  <si>
    <t>Comp</t>
  </si>
  <si>
    <t>Sunderland</t>
  </si>
  <si>
    <t>Single 1</t>
  </si>
  <si>
    <t>Single 2</t>
  </si>
  <si>
    <t>Single 3</t>
  </si>
  <si>
    <t>Double 1</t>
  </si>
  <si>
    <t>Double 2</t>
  </si>
  <si>
    <t>Double 3</t>
  </si>
  <si>
    <t>Treble</t>
  </si>
  <si>
    <t xml:space="preserve">Odds - </t>
  </si>
  <si>
    <t>Correct?</t>
  </si>
  <si>
    <t>x</t>
  </si>
  <si>
    <t>√</t>
  </si>
  <si>
    <t>`</t>
  </si>
  <si>
    <t>No of Entrants:</t>
  </si>
  <si>
    <t>Fees collected:</t>
  </si>
  <si>
    <t>How did we all do?</t>
  </si>
  <si>
    <t>Home Dec</t>
  </si>
  <si>
    <t>Draw Dec</t>
  </si>
  <si>
    <t>Away Dec</t>
  </si>
  <si>
    <t>Draw dec</t>
  </si>
  <si>
    <t>Home dec</t>
  </si>
  <si>
    <t>Away dec</t>
  </si>
  <si>
    <t>The table below shows what you would score if you predicted all three matches correctly; add up the 7 bet scores – 59.99 – and subtract the £7 stake to arrive at 52.99.</t>
  </si>
  <si>
    <t>Here’s what happens if you get the Bristol City prediction wrong…</t>
  </si>
  <si>
    <t>… and if you get you only get the Sunderland one right, your score gets even lower, into negative numbers…</t>
  </si>
  <si>
    <r>
      <t xml:space="preserve">So, what is the 3in! Prediction League? </t>
    </r>
    <r>
      <rPr>
        <sz val="12"/>
        <color indexed="63"/>
        <rFont val="Arial"/>
        <family val="2"/>
      </rPr>
      <t>Basically, each player in the league chooses just three matches from the weekend’s fixture list and predicts whether they will be a home win, an away win or a draw. You score points based on how correct your three predictions turn out to be and the match odds published by William Hills.</t>
    </r>
  </si>
  <si>
    <r>
      <rPr>
        <b/>
        <i/>
        <sz val="12"/>
        <color indexed="63"/>
        <rFont val="Arial"/>
        <family val="2"/>
      </rPr>
      <t>How does the scoring actually work?</t>
    </r>
    <r>
      <rPr>
        <i/>
        <sz val="12"/>
        <color indexed="63"/>
        <rFont val="Arial"/>
        <family val="2"/>
      </rPr>
      <t xml:space="preserve"> </t>
    </r>
    <r>
      <rPr>
        <sz val="12"/>
        <color indexed="63"/>
        <rFont val="Arial"/>
        <family val="2"/>
      </rPr>
      <t>Your three predictions are entered as a Patent bet, which means you get three singles, three doubles, and a treble. So, you have seven bets in total.  (If you went into a bookies and placed a £1 patent bet it would cost you £7, £1 for each bet). What you would stake and win with a real bookie with this bet, we convert to virtual money, or points, in the Prediction League.</t>
    </r>
  </si>
  <si>
    <r>
      <t>Then what?</t>
    </r>
    <r>
      <rPr>
        <sz val="12"/>
        <color indexed="63"/>
        <rFont val="Arial"/>
        <family val="2"/>
      </rPr>
      <t xml:space="preserve"> Basically, you total the decimal odds of all your winning bets and that becomes your points score for the week. The more of your three predictions you get right, the higher your win will be and so will your score. Also, if you pick matches with higher odds and predict the correct result, you will score more points.</t>
    </r>
  </si>
  <si>
    <r>
      <t>Hmmm, I’m still not really getting it!</t>
    </r>
    <r>
      <rPr>
        <sz val="12"/>
        <color indexed="63"/>
        <rFont val="Arial"/>
        <family val="2"/>
      </rPr>
      <t xml:space="preserve"> Right, here’s an example below. The fractional odds are converted to decimal – for example, the 9/4 for a Bristol City draw becomes 2.25 to which you add your virtual £1 stake, so 3.25. Do the same with the other two bets to calculate the three single bet values. The bookie calculates the odds for the three doubles and the treble but I am not sufficiently geeky to know how they do that.</t>
    </r>
  </si>
  <si>
    <r>
      <t>… and if, like me in most weeks, you get all three wrong, then you score a big fat -7.00…</t>
    </r>
    <r>
      <rPr>
        <b/>
        <i/>
        <sz val="12"/>
        <color indexed="63"/>
        <rFont val="Arial"/>
        <family val="2"/>
      </rPr>
      <t> </t>
    </r>
  </si>
  <si>
    <r>
      <rPr>
        <b/>
        <i/>
        <sz val="12"/>
        <color indexed="63"/>
        <rFont val="Arial"/>
        <family val="2"/>
      </rPr>
      <t>OK, got it. So, when does it start and how long does it last?</t>
    </r>
    <r>
      <rPr>
        <i/>
        <sz val="12"/>
        <color indexed="63"/>
        <rFont val="Arial"/>
        <family val="2"/>
      </rPr>
      <t xml:space="preserve"> The 3in! season lasts for 20 weeks.  We have two PL seasons in one regular football season, one before Christmas and one after. The weekly schedule is published on the website.</t>
    </r>
  </si>
  <si>
    <r>
      <t>Which fixtures can I choose from?</t>
    </r>
    <r>
      <rPr>
        <sz val="12"/>
        <color indexed="63"/>
        <rFont val="Arial"/>
        <family val="2"/>
      </rPr>
      <t xml:space="preserve"> Each week you will receive an email listing the fixture list. This will normally be the fixtures from the top four English leagues played on Friday, Saturday and Sunday. Sometimes, there list may also include international matches or FA Cup matches. There will be between 40 and 46 matches to choose from.</t>
    </r>
  </si>
  <si>
    <r>
      <t>How do I submit predictions?</t>
    </r>
    <r>
      <rPr>
        <sz val="12"/>
        <color indexed="63"/>
        <rFont val="Arial"/>
        <family val="2"/>
      </rPr>
      <t xml:space="preserve"> If you are predicting a win, I just need the team name </t>
    </r>
    <r>
      <rPr>
        <b/>
        <i/>
        <sz val="12"/>
        <color indexed="63"/>
        <rFont val="Arial"/>
        <family val="2"/>
      </rPr>
      <t>exactly</t>
    </r>
    <r>
      <rPr>
        <sz val="12"/>
        <color indexed="63"/>
        <rFont val="Arial"/>
        <family val="2"/>
      </rPr>
      <t xml:space="preserve"> as it appears in the fixture list. If you are predicting a draw, I just need the home team name </t>
    </r>
    <r>
      <rPr>
        <b/>
        <i/>
        <sz val="12"/>
        <color indexed="63"/>
        <rFont val="Arial"/>
        <family val="2"/>
      </rPr>
      <t>exactly</t>
    </r>
    <r>
      <rPr>
        <sz val="12"/>
        <color indexed="63"/>
        <rFont val="Arial"/>
        <family val="2"/>
      </rPr>
      <t xml:space="preserve"> as it appears in the fixture list plus the word “draw”. In fact, just as you can see in the examples above, with each of the three predictions on a separate line.</t>
    </r>
  </si>
  <si>
    <r>
      <t>Why do you need the team name to be exactly as it appears in the fixture list?</t>
    </r>
    <r>
      <rPr>
        <sz val="12"/>
        <color indexed="63"/>
        <rFont val="Arial"/>
        <family val="2"/>
      </rPr>
      <t xml:space="preserve"> Because, it helps me to cut and paste them directly into my system and if you give me anything different I have to start typing things manually. With almost 100 sets of predictions to deal with each week, that becomes a pain in the arse. So, just do it right, please! Do not get creative with the names of the teams or the format of the predictions submission.  If it says “Tottenham” that’s what I want to see – not “Tottenham Hotspur” or “Spurs” or “Tott’ham” or “Tottenham H”. Just plain old “Tottenham” please.</t>
    </r>
  </si>
  <si>
    <r>
      <t>Is there a deadline by which I have to submit each week?</t>
    </r>
    <r>
      <rPr>
        <sz val="12"/>
        <color indexed="63"/>
        <rFont val="Arial"/>
        <family val="2"/>
      </rPr>
      <t xml:space="preserve"> No, not specifically. You have up until a match kicks off to predict its result so you could miss all of Saturday’s main fixture list and rely on the Sunday games. You just have to hope that there are at least three games on the Sunday or your chances of scoring big are reduced accordingly.</t>
    </r>
  </si>
  <si>
    <r>
      <t>What if a cup game goes to extra time and penalties?</t>
    </r>
    <r>
      <rPr>
        <sz val="12"/>
        <color indexed="63"/>
        <rFont val="Arial"/>
        <family val="2"/>
      </rPr>
      <t xml:space="preserve"> Bookies odds are generally based on the score at 90 minutes so we go with that.</t>
    </r>
  </si>
  <si>
    <r>
      <t>What if a game is postponed?</t>
    </r>
    <r>
      <rPr>
        <sz val="12"/>
        <color indexed="63"/>
        <rFont val="Arial"/>
        <family val="2"/>
      </rPr>
      <t xml:space="preserve"> If one or more of your three selections is postponed then your Patent bet permutations are again reduced accordingly. Again, I don’t pretend to understand exactly how the bookies calculate this but I have a formula that does it for me. Basically it means that your maximum win or loss will be reduced. If all three of your selections are postponed, you should give serious consideration to packing it all in.</t>
    </r>
  </si>
  <si>
    <r>
      <t>Can I change my predictions after I have submitted them?</t>
    </r>
    <r>
      <rPr>
        <sz val="12"/>
        <color indexed="63"/>
        <rFont val="Arial"/>
        <family val="2"/>
      </rPr>
      <t xml:space="preserve"> It’s a brave man (or woman) that does so but yes, provided the new matches you select haven’t yet kicked off you can change your mind. I will always take your latest submission – you’ll be amazed how many people send in three pcks, completely forget that have done so and the send in three completey different new ones. I never ask questions, I just take your most recent predictions in good faith.</t>
    </r>
  </si>
  <si>
    <r>
      <t>Will I receive a confirmation that you have received my predictions?</t>
    </r>
    <r>
      <rPr>
        <sz val="12"/>
        <color indexed="63"/>
        <rFont val="Arial"/>
        <family val="2"/>
      </rPr>
      <t xml:space="preserve"> Definitely not! With 90 sets of predictions to process I don’t have the time. But, if you reply to the official fixture list email and you don’t receive a failure, you can safely assume I have got it.</t>
    </r>
  </si>
  <si>
    <r>
      <t>Will you send me a reminder if I haven’t sent you any predictions?</t>
    </r>
    <r>
      <rPr>
        <sz val="12"/>
        <color indexed="63"/>
        <rFont val="Arial"/>
        <family val="2"/>
      </rPr>
      <t xml:space="preserve"> Er, what do you think? No, I won’t. You’re a grown adult, sort your life out.</t>
    </r>
  </si>
  <si>
    <r>
      <t>How much does it cost to enter?</t>
    </r>
    <r>
      <rPr>
        <sz val="12"/>
        <color indexed="63"/>
        <rFont val="Arial"/>
        <family val="2"/>
      </rPr>
      <t xml:space="preserve"> It’s £1 per week, so £20 for the season. Then we start again in January if you’re still with us.</t>
    </r>
  </si>
  <si>
    <r>
      <t>Do I have to pay my £20 before I can join?</t>
    </r>
    <r>
      <rPr>
        <sz val="12"/>
        <color indexed="63"/>
        <rFont val="Arial"/>
        <family val="2"/>
      </rPr>
      <t xml:space="preserve"> No. You will start £20 in debt and, at the end of the year, we will nett off any prizes and collect/pay out the balance. Except if you are brand new to the League in which case we ask you to pay your £20 by Week 3 of your first season. As a gesture of goodwill, more than anything else.</t>
    </r>
  </si>
  <si>
    <r>
      <rPr>
        <b/>
        <i/>
        <sz val="12"/>
        <rFont val="Arial"/>
        <family val="2"/>
      </rPr>
      <t>Can I send them via text instead?</t>
    </r>
    <r>
      <rPr>
        <sz val="12"/>
        <rFont val="Arial"/>
        <family val="2"/>
      </rPr>
      <t xml:space="preserve"> Only in an emergency, please don’t make a habit of it! There is more chance of me not missing your entry if you reply to the original email fixtures list.  If you lose the email, the fixtures are always on the Next Odds page of the website.</t>
    </r>
  </si>
  <si>
    <r>
      <t xml:space="preserve">How much can I win? </t>
    </r>
    <r>
      <rPr>
        <sz val="12"/>
        <color indexed="63"/>
        <rFont val="Arial"/>
        <family val="2"/>
      </rPr>
      <t>There are weekly prizes of £25 to the highest four score of the week – £10 to the highest scorer and three times £5 to the next three highest. The top 25 players at the end of the 20 weeks share the rest of the fund between them. 100% of entry fees are re-distributed as prizes. The breakdown of the prize fund is listed on the Diary page of the website.</t>
    </r>
  </si>
  <si>
    <r>
      <t xml:space="preserve">How can I find out how I am doing as the season progresses? </t>
    </r>
    <r>
      <rPr>
        <sz val="12"/>
        <color indexed="63"/>
        <rFont val="Arial"/>
        <family val="2"/>
      </rPr>
      <t>Update tables and stats are published on a weekly basis on the News section of the website and you will receive an email notifying you when the updates have been made.</t>
    </r>
  </si>
  <si>
    <r>
      <t xml:space="preserve">Can I change the email address you send the updates to? </t>
    </r>
    <r>
      <rPr>
        <sz val="12"/>
        <color indexed="63"/>
        <rFont val="Arial"/>
        <family val="2"/>
      </rPr>
      <t>Yes, you can unsubscribe your existing email address or add a new one here.</t>
    </r>
  </si>
  <si>
    <t>Sequence</t>
  </si>
  <si>
    <t>Pos</t>
  </si>
  <si>
    <t>Division A</t>
  </si>
  <si>
    <t>Division B</t>
  </si>
  <si>
    <t>Division C</t>
  </si>
  <si>
    <t>Division D</t>
  </si>
  <si>
    <t>Div</t>
  </si>
  <si>
    <t>Fund deductions (eg, non-payers)</t>
  </si>
  <si>
    <t>Division</t>
  </si>
  <si>
    <t>Weekly
Prizes</t>
  </si>
  <si>
    <t>A</t>
  </si>
  <si>
    <t>B</t>
  </si>
  <si>
    <t>C</t>
  </si>
  <si>
    <t>D</t>
  </si>
  <si>
    <t>Place Prize</t>
  </si>
  <si>
    <t>Total
Prize</t>
  </si>
  <si>
    <t>A3</t>
  </si>
  <si>
    <t>A4</t>
  </si>
  <si>
    <t>A5</t>
  </si>
  <si>
    <t>B1</t>
  </si>
  <si>
    <t>B2</t>
  </si>
  <si>
    <t>B3</t>
  </si>
  <si>
    <t>B4</t>
  </si>
  <si>
    <t>B5</t>
  </si>
  <si>
    <t>C1</t>
  </si>
  <si>
    <t>C2</t>
  </si>
  <si>
    <t>C3</t>
  </si>
  <si>
    <t>C4</t>
  </si>
  <si>
    <t>C5</t>
  </si>
  <si>
    <t>D3</t>
  </si>
  <si>
    <t>D5</t>
  </si>
  <si>
    <t>Position</t>
  </si>
  <si>
    <t>Division Pot %</t>
  </si>
  <si>
    <t>Position%</t>
  </si>
  <si>
    <t>Div Pot</t>
  </si>
  <si>
    <t>% of pot</t>
  </si>
  <si>
    <t>Div A</t>
  </si>
  <si>
    <t>Div B</t>
  </si>
  <si>
    <t>Div C</t>
  </si>
  <si>
    <t>Div D</t>
  </si>
  <si>
    <t>Bet in?</t>
  </si>
  <si>
    <t>Play-off</t>
  </si>
  <si>
    <t>↓</t>
  </si>
  <si>
    <t>↑</t>
  </si>
  <si>
    <t>Promotion and Relegation Key</t>
  </si>
  <si>
    <t>No change</t>
  </si>
  <si>
    <t>Promoted to Division above</t>
  </si>
  <si>
    <t>Relegated to Division below</t>
  </si>
  <si>
    <t>Best two up to Div A, Worst two down to Div B</t>
  </si>
  <si>
    <t>Best two up to Div B, Worst two down to Div C</t>
  </si>
  <si>
    <t>Best two up to Div C, Worst two down to Div D</t>
  </si>
  <si>
    <t>Season
Points</t>
  </si>
  <si>
    <t>Season
Correct</t>
  </si>
  <si>
    <t>Week
Points</t>
  </si>
  <si>
    <t>Fees</t>
  </si>
  <si>
    <t>Paul Allen</t>
  </si>
  <si>
    <t>Stephen Barr</t>
  </si>
  <si>
    <t>Barry Birchall</t>
  </si>
  <si>
    <t>Steve Carter</t>
  </si>
  <si>
    <t>Paul Fiddler</t>
  </si>
  <si>
    <t>Graham Miller</t>
  </si>
  <si>
    <t>Martin Molyneux</t>
  </si>
  <si>
    <t>Mark Saunders</t>
  </si>
  <si>
    <t>Andy White</t>
  </si>
  <si>
    <t>Paul Adderley</t>
  </si>
  <si>
    <t>Lennie Bow</t>
  </si>
  <si>
    <t>Mark Bunn</t>
  </si>
  <si>
    <t>Andy Charleston</t>
  </si>
  <si>
    <t>John Evans</t>
  </si>
  <si>
    <t>Mike Penk</t>
  </si>
  <si>
    <t>Gareth Powell</t>
  </si>
  <si>
    <t>Alan Rogers</t>
  </si>
  <si>
    <t>Vinny Topping</t>
  </si>
  <si>
    <t>Paul Barnes</t>
  </si>
  <si>
    <t>Howard Bradley</t>
  </si>
  <si>
    <t>Kevin Carter</t>
  </si>
  <si>
    <t>Rob England</t>
  </si>
  <si>
    <t>Paul Fairhurst</t>
  </si>
  <si>
    <t>Simon Greenhalgh</t>
  </si>
  <si>
    <t>Chris Griffin</t>
  </si>
  <si>
    <t>Charlie Griffiths</t>
  </si>
  <si>
    <t>Nigel Heyes</t>
  </si>
  <si>
    <t>Mo Sudell</t>
  </si>
  <si>
    <t>Jack Walsh</t>
  </si>
  <si>
    <t>Chris Bow</t>
  </si>
  <si>
    <t>Chris Luck</t>
  </si>
  <si>
    <t>Phil Miller</t>
  </si>
  <si>
    <t>Alick Rocca</t>
  </si>
  <si>
    <t>League
Place
Prize</t>
  </si>
  <si>
    <t>A6</t>
  </si>
  <si>
    <t>B6</t>
  </si>
  <si>
    <t>C6</t>
  </si>
  <si>
    <t>D6</t>
  </si>
  <si>
    <t>Tom Robinson</t>
  </si>
  <si>
    <t>D4</t>
  </si>
  <si>
    <t>League Table</t>
  </si>
  <si>
    <t>Weekly Results</t>
  </si>
  <si>
    <t>Cup Draw</t>
  </si>
  <si>
    <t>Season Diary</t>
  </si>
  <si>
    <t>Current Week Fixtures</t>
  </si>
  <si>
    <t>Current Week Predictions</t>
  </si>
  <si>
    <t>Add Matches</t>
  </si>
  <si>
    <t>Add Predictions</t>
  </si>
  <si>
    <t>Add Predictions (double-week)</t>
  </si>
  <si>
    <t>FAQ</t>
  </si>
  <si>
    <t>Prizes - Summary</t>
  </si>
  <si>
    <t>Prizes - Divisional Splits</t>
  </si>
  <si>
    <t>Sample Bets</t>
  </si>
  <si>
    <t>Pics for Publication</t>
  </si>
  <si>
    <t>1-2-3 Pivot</t>
  </si>
  <si>
    <t>Top Picks</t>
  </si>
  <si>
    <t>Useful Info</t>
  </si>
  <si>
    <t>Weekly Reports</t>
  </si>
  <si>
    <t>Admin (Weekly)</t>
  </si>
  <si>
    <t>Admin (Other)</t>
  </si>
  <si>
    <t>Cup Draw Raw</t>
  </si>
  <si>
    <t>Calculations</t>
  </si>
  <si>
    <t>Last Season Places</t>
  </si>
  <si>
    <t>Brought Forward</t>
  </si>
  <si>
    <t>End of Season Finance</t>
  </si>
  <si>
    <t>Menu!A1</t>
  </si>
  <si>
    <t>Click the top left cell in any tab to return Home</t>
  </si>
  <si>
    <t>Pos L/W</t>
  </si>
  <si>
    <t xml:space="preserve">Mini Leagues </t>
  </si>
  <si>
    <t>Total
Correct</t>
  </si>
  <si>
    <t>Week
Rank</t>
  </si>
  <si>
    <t>Wigan</t>
  </si>
  <si>
    <t>This Week
Actual Score</t>
  </si>
  <si>
    <t>This Week
Max Score</t>
  </si>
  <si>
    <t>Rank</t>
  </si>
  <si>
    <t>Max Score
This Week</t>
  </si>
  <si>
    <t>Season
So Far</t>
  </si>
  <si>
    <t>-7.00</t>
  </si>
  <si>
    <t xml:space="preserve">Wk 19: </t>
  </si>
  <si>
    <t>Odds -</t>
  </si>
  <si>
    <t>Ben Rosser</t>
  </si>
  <si>
    <t>David Dunn</t>
  </si>
  <si>
    <t>Gerard Ventom</t>
  </si>
  <si>
    <t>Nick Blocksidge</t>
  </si>
  <si>
    <t>Martin Tarbuck</t>
  </si>
  <si>
    <t>Dave Bell</t>
  </si>
  <si>
    <t>D15</t>
  </si>
  <si>
    <t>D16</t>
  </si>
  <si>
    <t>D17</t>
  </si>
  <si>
    <t>D18</t>
  </si>
  <si>
    <t>D19</t>
  </si>
  <si>
    <t>D20</t>
  </si>
  <si>
    <t>Number of rounds (7 if &gt; 64 total)</t>
  </si>
  <si>
    <t>A7</t>
  </si>
  <si>
    <t>A8</t>
  </si>
  <si>
    <t>A10</t>
  </si>
  <si>
    <t>A11</t>
  </si>
  <si>
    <t>A12</t>
  </si>
  <si>
    <t>A13</t>
  </si>
  <si>
    <t>A14</t>
  </si>
  <si>
    <t>A15</t>
  </si>
  <si>
    <t>A16</t>
  </si>
  <si>
    <t>B7</t>
  </si>
  <si>
    <t>B8</t>
  </si>
  <si>
    <t>B9</t>
  </si>
  <si>
    <t>B10</t>
  </si>
  <si>
    <t>B11</t>
  </si>
  <si>
    <t>B12</t>
  </si>
  <si>
    <t>B13</t>
  </si>
  <si>
    <t>B14</t>
  </si>
  <si>
    <t>B15</t>
  </si>
  <si>
    <t>B16</t>
  </si>
  <si>
    <t>C7</t>
  </si>
  <si>
    <t>C8</t>
  </si>
  <si>
    <t>C9</t>
  </si>
  <si>
    <t>C10</t>
  </si>
  <si>
    <t>C11</t>
  </si>
  <si>
    <t>C12</t>
  </si>
  <si>
    <t>C13</t>
  </si>
  <si>
    <t>C14</t>
  </si>
  <si>
    <t>C15</t>
  </si>
  <si>
    <t>C16</t>
  </si>
  <si>
    <t>D7</t>
  </si>
  <si>
    <t>D8</t>
  </si>
  <si>
    <t>D9</t>
  </si>
  <si>
    <t>D10</t>
  </si>
  <si>
    <t>D11</t>
  </si>
  <si>
    <t>D12</t>
  </si>
  <si>
    <t>D13</t>
  </si>
  <si>
    <t>A9</t>
  </si>
  <si>
    <t>Doncaster</t>
  </si>
  <si>
    <t>Portsmouth</t>
  </si>
  <si>
    <t>Season
Score</t>
  </si>
  <si>
    <t>Week
? of 3</t>
  </si>
  <si>
    <t>League
Place Prize</t>
  </si>
  <si>
    <t>Number of Entrants</t>
  </si>
  <si>
    <t>This Week
Correct</t>
  </si>
  <si>
    <t>Count of Points</t>
  </si>
  <si>
    <t>(blank)</t>
  </si>
  <si>
    <t>Act Score
This Week</t>
  </si>
  <si>
    <t>Sheff U</t>
  </si>
  <si>
    <t>Villa</t>
  </si>
  <si>
    <t>Wycombe</t>
  </si>
  <si>
    <t>West Ham</t>
  </si>
  <si>
    <t>Spurs</t>
  </si>
  <si>
    <t>Reading draw</t>
  </si>
  <si>
    <t>Prm\Chp\FL1\FL2</t>
  </si>
  <si>
    <t>INT\FL1\FL2\NL</t>
  </si>
  <si>
    <t>Alan White</t>
  </si>
  <si>
    <t>Row Labels</t>
  </si>
  <si>
    <t>Put back to M22</t>
  </si>
  <si>
    <t>Promotion/
Relegation</t>
  </si>
  <si>
    <t>Players</t>
  </si>
  <si>
    <t>Count of Players</t>
  </si>
  <si>
    <t>FAC\FL1\FL2</t>
  </si>
  <si>
    <t>Fixtures in PreliminaryRound/Round 1</t>
  </si>
  <si>
    <t>Preliminary Round</t>
  </si>
  <si>
    <t>Round 1</t>
  </si>
  <si>
    <t>Round 3</t>
  </si>
  <si>
    <t>Quarter Final</t>
  </si>
  <si>
    <t>Week</t>
  </si>
  <si>
    <t>Wk1</t>
  </si>
  <si>
    <r>
      <t xml:space="preserve">Top Nap </t>
    </r>
    <r>
      <rPr>
        <b/>
        <sz val="12"/>
        <color rgb="FF008000"/>
        <rFont val="Calibri"/>
        <family val="2"/>
      </rPr>
      <t>↑</t>
    </r>
  </si>
  <si>
    <r>
      <t xml:space="preserve">Coupon-Buster </t>
    </r>
    <r>
      <rPr>
        <b/>
        <sz val="12"/>
        <color rgb="FFFF0000"/>
        <rFont val="Calibri"/>
        <family val="2"/>
      </rPr>
      <t>↓</t>
    </r>
  </si>
  <si>
    <r>
      <t xml:space="preserve">Bravest Max! </t>
    </r>
    <r>
      <rPr>
        <sz val="12"/>
        <color rgb="FF7030A0"/>
        <rFont val="Arial"/>
        <family val="2"/>
      </rPr>
      <t>👊</t>
    </r>
    <r>
      <rPr>
        <sz val="10"/>
        <color rgb="FF7030A0"/>
        <rFont val="Arial"/>
        <family val="2"/>
      </rPr>
      <t xml:space="preserve"> </t>
    </r>
  </si>
  <si>
    <r>
      <t xml:space="preserve">Mardest Max! </t>
    </r>
    <r>
      <rPr>
        <sz val="12"/>
        <color rgb="FF7030A0"/>
        <rFont val="Arial"/>
        <family val="2"/>
      </rPr>
      <t>👶</t>
    </r>
  </si>
  <si>
    <t>Prm\Chp\FAC</t>
  </si>
  <si>
    <t>+</t>
  </si>
  <si>
    <t>Picks</t>
  </si>
  <si>
    <t>Wk in</t>
  </si>
  <si>
    <t>Wk Pts</t>
  </si>
  <si>
    <t>Season
Total</t>
  </si>
  <si>
    <t xml:space="preserve">Result &amp; Odds #1 </t>
  </si>
  <si>
    <t>Result &amp; Odds #2</t>
  </si>
  <si>
    <t>3 in</t>
  </si>
  <si>
    <t>1 in</t>
  </si>
  <si>
    <t>2 in</t>
  </si>
  <si>
    <t>0 in</t>
  </si>
  <si>
    <t>Div
Pos</t>
  </si>
  <si>
    <t>Man or mouse?</t>
  </si>
  <si>
    <t>Season:</t>
  </si>
  <si>
    <t>Put back to O21</t>
  </si>
  <si>
    <t>Put back to M25</t>
  </si>
  <si>
    <t>Long Shot 🤞</t>
  </si>
  <si>
    <t>Longest odds in</t>
  </si>
  <si>
    <t>Up &amp; Down</t>
  </si>
  <si>
    <t>+ other(s)</t>
  </si>
  <si>
    <t>First "Long-Odder"</t>
  </si>
  <si>
    <t>Down</t>
  </si>
  <si>
    <t>Team</t>
  </si>
  <si>
    <t>K30</t>
  </si>
  <si>
    <t>M30</t>
  </si>
  <si>
    <t>O30</t>
  </si>
  <si>
    <t>Q30</t>
  </si>
  <si>
    <t>3in! PL
Round No.</t>
  </si>
  <si>
    <t>Round</t>
  </si>
  <si>
    <t>D/W?</t>
  </si>
  <si>
    <t>Deducts</t>
  </si>
  <si>
    <t>Ref</t>
  </si>
  <si>
    <t>Played</t>
  </si>
  <si>
    <t>Off?</t>
  </si>
  <si>
    <t>On/Off</t>
  </si>
  <si>
    <t>Cup semi-finalists (2 * £5)</t>
  </si>
  <si>
    <t>Div A top 6 places (35%/25/18/12/7/3) - 45% of pot</t>
  </si>
  <si>
    <t>End of season place prize pot</t>
  </si>
  <si>
    <t>Div B top 6 places (35%/25/18/12/7/3) - 30% of pot</t>
  </si>
  <si>
    <t>Div C top 6 places (35%/25/18/12/7/3) - 15% of pot</t>
  </si>
  <si>
    <t>Div D top 6 places (35%/25/18/12/7/3) - 10% of pot</t>
  </si>
  <si>
    <t>Nett place prize pot</t>
  </si>
  <si>
    <t>I,J</t>
  </si>
  <si>
    <t>H,I</t>
  </si>
  <si>
    <t>H,J</t>
  </si>
  <si>
    <t>H,I,J</t>
  </si>
  <si>
    <t>Alan Bond</t>
  </si>
  <si>
    <t>Bob Bailey</t>
  </si>
  <si>
    <t>Dan Gibbard</t>
  </si>
  <si>
    <t>Frank Allen</t>
  </si>
  <si>
    <t>Autumn</t>
  </si>
  <si>
    <t>Earlier drawn ties</t>
  </si>
  <si>
    <t>Day</t>
  </si>
  <si>
    <t>New Season Divisional Line-ups</t>
  </si>
  <si>
    <t>↔</t>
  </si>
  <si>
    <t>Julie Dodd</t>
  </si>
  <si>
    <t>Midweek Fixtures</t>
  </si>
  <si>
    <t>Main Matchday</t>
  </si>
  <si>
    <t>Double Round</t>
  </si>
  <si>
    <t>Midweek\
Double Round</t>
  </si>
  <si>
    <t>3in! PL
Cup Round</t>
  </si>
  <si>
    <t>PL\EFL\SPL
Fixtures</t>
  </si>
  <si>
    <t>Alex Griffin</t>
  </si>
  <si>
    <t>Rank #</t>
  </si>
  <si>
    <t>C17</t>
  </si>
  <si>
    <t>C20</t>
  </si>
  <si>
    <t>C18</t>
  </si>
  <si>
    <t>C19</t>
  </si>
  <si>
    <t>Load fixtures
(- 7 days)</t>
  </si>
  <si>
    <t>Done</t>
  </si>
  <si>
    <t>Y</t>
  </si>
  <si>
    <t>Scrape Find fixtures
(- 12 days)</t>
  </si>
  <si>
    <t>Scrape &amp; Input odds
(Mon of Round)</t>
  </si>
  <si>
    <t>N</t>
  </si>
  <si>
    <t>Current non-entrants</t>
  </si>
  <si>
    <t>3/1</t>
  </si>
  <si>
    <t>Southampton draw</t>
  </si>
  <si>
    <t>Inactive
This
Season:</t>
  </si>
  <si>
    <t>Active
Current
Season</t>
  </si>
  <si>
    <t>Steve Waterhouse</t>
  </si>
  <si>
    <t>PL\EFL</t>
  </si>
  <si>
    <t>Final Rep</t>
  </si>
  <si>
    <t xml:space="preserve">Round 1 </t>
  </si>
  <si>
    <t>R1
Draw #</t>
  </si>
  <si>
    <t>Dot Bow</t>
  </si>
  <si>
    <t>Katy Savory</t>
  </si>
  <si>
    <t>This
Week
Max</t>
  </si>
  <si>
    <t>This
Week
Actual</t>
  </si>
  <si>
    <t>Act</t>
  </si>
  <si>
    <t>Entire Field Averages</t>
  </si>
  <si>
    <t>Season
Total @
Last Round</t>
  </si>
  <si>
    <t>Burton</t>
  </si>
  <si>
    <t>Round 4</t>
  </si>
  <si>
    <t/>
  </si>
  <si>
    <t>Bristol R</t>
  </si>
  <si>
    <t>QPR</t>
  </si>
  <si>
    <t>Exeter</t>
  </si>
  <si>
    <t>Salford</t>
  </si>
  <si>
    <t>Crewe</t>
  </si>
  <si>
    <t>Tranmere</t>
  </si>
  <si>
    <t>Port Vale draw</t>
  </si>
  <si>
    <t>Simon Richardson</t>
  </si>
  <si>
    <t>Naaman Boyd</t>
  </si>
  <si>
    <t>Steven Naylor</t>
  </si>
  <si>
    <t>PL48
Div</t>
  </si>
  <si>
    <t>PL49
Div</t>
  </si>
  <si>
    <t>PL48</t>
  </si>
  <si>
    <t>Autumn 26</t>
  </si>
  <si>
    <t>Simon Kimble</t>
  </si>
  <si>
    <t>Round 4 (QF)</t>
  </si>
  <si>
    <t>PL\EFL\FAC</t>
  </si>
  <si>
    <t>Round 4 (QF) Rep</t>
  </si>
  <si>
    <t>Round 5 (SF)</t>
  </si>
  <si>
    <t>Round 5 (SF) Rep</t>
  </si>
  <si>
    <t>Byes into Round 1/Round 2</t>
  </si>
  <si>
    <t>PL Prel</t>
  </si>
  <si>
    <t>Reading</t>
  </si>
  <si>
    <t>FALSE</t>
  </si>
  <si>
    <t>League 1</t>
  </si>
  <si>
    <t>Cambridge</t>
  </si>
  <si>
    <t>Peterbro</t>
  </si>
  <si>
    <t>Plymouth</t>
  </si>
  <si>
    <t xml:space="preserve">Stockport </t>
  </si>
  <si>
    <t>League 2</t>
  </si>
  <si>
    <t>Accrington</t>
  </si>
  <si>
    <t>Colchester</t>
  </si>
  <si>
    <t>Cheltenham</t>
  </si>
  <si>
    <t>Gillingham</t>
  </si>
  <si>
    <t>Grimsby</t>
  </si>
  <si>
    <t xml:space="preserve">Bristol R </t>
  </si>
  <si>
    <t>Newport</t>
  </si>
  <si>
    <t>Oldham</t>
  </si>
  <si>
    <t>Chesterfield</t>
  </si>
  <si>
    <t>Rotherham</t>
  </si>
  <si>
    <t>Shrewsbury</t>
  </si>
  <si>
    <t>Walsall</t>
  </si>
  <si>
    <t>Rochdale</t>
  </si>
  <si>
    <t>York</t>
  </si>
  <si>
    <t>Swindon</t>
  </si>
  <si>
    <t>#N/A</t>
  </si>
  <si>
    <t>No submission = 3</t>
  </si>
  <si>
    <t>06</t>
  </si>
  <si>
    <t>Nations</t>
  </si>
  <si>
    <t>Armenia</t>
  </si>
  <si>
    <t>Latvia</t>
  </si>
  <si>
    <t>Georgia</t>
  </si>
  <si>
    <t>N Ireland</t>
  </si>
  <si>
    <t>Hungary</t>
  </si>
  <si>
    <t>Ukraine</t>
  </si>
  <si>
    <t>Italy</t>
  </si>
  <si>
    <t>Belgium</t>
  </si>
  <si>
    <t>Montenegro</t>
  </si>
  <si>
    <t>Cyprus</t>
  </si>
  <si>
    <t>Poland</t>
  </si>
  <si>
    <t>Bosnia</t>
  </si>
  <si>
    <t>Sweden</t>
  </si>
  <si>
    <t>Romania</t>
  </si>
  <si>
    <t>Turkey</t>
  </si>
  <si>
    <t>France</t>
  </si>
  <si>
    <t>Wimbledon</t>
  </si>
  <si>
    <t>Fleetwood</t>
  </si>
  <si>
    <t>Albania</t>
  </si>
  <si>
    <t>Belarus</t>
  </si>
  <si>
    <t>Bulgaria</t>
  </si>
  <si>
    <t>Luxembourg</t>
  </si>
  <si>
    <t>Czech</t>
  </si>
  <si>
    <t>Croatia</t>
  </si>
  <si>
    <t>England</t>
  </si>
  <si>
    <t>Spain</t>
  </si>
  <si>
    <t>Faroe Islands</t>
  </si>
  <si>
    <t>Kazakhstan</t>
  </si>
  <si>
    <t>Iceland</t>
  </si>
  <si>
    <t>Estonia</t>
  </si>
  <si>
    <t>Macedonia</t>
  </si>
  <si>
    <t>Switzerland</t>
  </si>
  <si>
    <t>San Marino</t>
  </si>
  <si>
    <t>Finland</t>
  </si>
  <si>
    <t>Slovakia</t>
  </si>
  <si>
    <t>Moldova</t>
  </si>
  <si>
    <t>Slovenia</t>
  </si>
  <si>
    <t>Scotland</t>
  </si>
  <si>
    <t>Nat League</t>
  </si>
  <si>
    <t>Aldershot</t>
  </si>
  <si>
    <t>Tamworth</t>
  </si>
  <si>
    <t>Altrincham</t>
  </si>
  <si>
    <t>AFC Hornchurch</t>
  </si>
  <si>
    <t>Scunthorpe</t>
  </si>
  <si>
    <t>Hartlepool</t>
  </si>
  <si>
    <t>Southend</t>
  </si>
  <si>
    <t>Barrow</t>
  </si>
  <si>
    <t>Austria</t>
  </si>
  <si>
    <t>Kosovo</t>
  </si>
  <si>
    <t>Denmark</t>
  </si>
  <si>
    <t>Wales</t>
  </si>
  <si>
    <t>Germany</t>
  </si>
  <si>
    <t>Greece</t>
  </si>
  <si>
    <t>Gibraltar</t>
  </si>
  <si>
    <t>Andorra</t>
  </si>
  <si>
    <t>Israel</t>
  </si>
  <si>
    <t>Ireland</t>
  </si>
  <si>
    <t>Lithuania</t>
  </si>
  <si>
    <t>Azerbaijan</t>
  </si>
  <si>
    <t>Norway</t>
  </si>
  <si>
    <t>Portugal</t>
  </si>
  <si>
    <t>Serbia</t>
  </si>
  <si>
    <t>Netherlands</t>
  </si>
  <si>
    <t>Wycombe draw</t>
  </si>
  <si>
    <t>Oldham draw</t>
  </si>
  <si>
    <t>Shrewsbury draw</t>
  </si>
  <si>
    <t>Israel draw</t>
  </si>
  <si>
    <t>Lithuania draw</t>
  </si>
  <si>
    <t>Norway draw</t>
  </si>
  <si>
    <t>Stockport</t>
  </si>
  <si>
    <t>Italy draw</t>
  </si>
  <si>
    <t>England draw</t>
  </si>
  <si>
    <t>Czech draw</t>
  </si>
  <si>
    <t>Rotherham draw</t>
  </si>
  <si>
    <t>Tranmere draw</t>
  </si>
  <si>
    <t>AlickRocca/Gerard Ventom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</si>
</sst>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0">
    <numFmt numFmtId="6" formatCode="&quot;£&quot;#,##0;[Red]\-&quot;£&quot;#,##0"/>
    <numFmt numFmtId="8" formatCode="&quot;£&quot;#,##0.00;[Red]\-&quot;£&quot;#,##0.00"/>
    <numFmt numFmtId="164" formatCode="&quot;£&quot;#,##0.00"/>
    <numFmt numFmtId="165" formatCode="&quot;£&quot;#,##0"/>
    <numFmt numFmtId="166" formatCode="d/m/yy;@"/>
    <numFmt numFmtId="167" formatCode="dddd\,\ dd"/>
    <numFmt numFmtId="168" formatCode="ddd\,\ d\ mmm"/>
    <numFmt numFmtId="169" formatCode="ddd\ dd\ mmm"/>
    <numFmt numFmtId="170" formatCode="0.00_ ;[Red]\-0.00\ "/>
    <numFmt numFmtId="171" formatCode="#,##0.00_ ;[Red]\-#,##0.00\ "/>
    <numFmt numFmtId="172" formatCode="#,##0_ ;[Red]\-#,##0\ "/>
    <numFmt numFmtId="173" formatCode="0_ ;[Red]\-0\ "/>
    <numFmt numFmtId="174" formatCode="d\-mmm"/>
    <numFmt numFmtId="175" formatCode="0.000"/>
    <numFmt numFmtId="176" formatCode="ddd\ dd\ mmm\ yy"/>
    <numFmt numFmtId="177" formatCode="ddd\,\ d\ mmmm"/>
    <numFmt numFmtId="178" formatCode="ddd"/>
    <numFmt numFmtId="179" formatCode="ddd\ \-d\ mmm"/>
    <numFmt numFmtId="180" formatCode="d\ mmm"/>
    <numFmt numFmtId="181" formatCode="ddd\,\ dd\ mmm"/>
  </numFmts>
  <fonts count="70">
    <font>
      <sz val="10"/>
      <name val="Arial"/>
    </font>
    <font>
      <b/>
      <sz val="10"/>
      <name val="Arial"/>
      <family val="2"/>
    </font>
    <font>
      <u/>
      <sz val="10"/>
      <color indexed="12"/>
      <name val="Arial"/>
      <family val="2"/>
    </font>
    <font>
      <sz val="10"/>
      <name val="Arial Unicode MS"/>
      <family val="2"/>
    </font>
    <font>
      <sz val="10"/>
      <name val="Arial"/>
      <family val="2"/>
    </font>
    <font>
      <sz val="9"/>
      <name val="Arial"/>
      <family val="2"/>
    </font>
    <font>
      <b/>
      <sz val="9"/>
      <name val="Arial"/>
      <family val="2"/>
    </font>
    <font>
      <sz val="8"/>
      <name val="Arial"/>
      <family val="2"/>
    </font>
    <font>
      <b/>
      <sz val="9"/>
      <color indexed="81"/>
      <name val="Tahoma"/>
      <family val="2"/>
    </font>
    <font>
      <sz val="9"/>
      <color indexed="81"/>
      <name val="Tahoma"/>
      <family val="2"/>
    </font>
    <font>
      <sz val="14"/>
      <name val="Arial"/>
      <family val="2"/>
    </font>
    <font>
      <b/>
      <sz val="9"/>
      <color indexed="9"/>
      <name val="Tahoma"/>
      <family val="2"/>
    </font>
    <font>
      <b/>
      <i/>
      <sz val="12"/>
      <color indexed="63"/>
      <name val="Arial"/>
      <family val="2"/>
    </font>
    <font>
      <sz val="12"/>
      <color indexed="63"/>
      <name val="Arial"/>
      <family val="2"/>
    </font>
    <font>
      <sz val="12"/>
      <name val="Arial"/>
      <family val="2"/>
    </font>
    <font>
      <i/>
      <sz val="12"/>
      <color indexed="63"/>
      <name val="Arial"/>
      <family val="2"/>
    </font>
    <font>
      <b/>
      <i/>
      <sz val="12"/>
      <name val="Arial"/>
      <family val="2"/>
    </font>
    <font>
      <b/>
      <sz val="12"/>
      <name val="Arial"/>
      <family val="2"/>
    </font>
    <font>
      <b/>
      <sz val="10"/>
      <color rgb="FFFFFF00"/>
      <name val="Arial"/>
      <family val="2"/>
    </font>
    <font>
      <sz val="10"/>
      <color rgb="FFFFFF00"/>
      <name val="Arial"/>
      <family val="2"/>
    </font>
    <font>
      <sz val="10"/>
      <color theme="0"/>
      <name val="Arial"/>
      <family val="2"/>
    </font>
    <font>
      <u/>
      <sz val="10"/>
      <color rgb="FFFFFF00"/>
      <name val="Arial"/>
      <family val="2"/>
    </font>
    <font>
      <b/>
      <sz val="10"/>
      <color rgb="FFFF0000"/>
      <name val="Arial"/>
      <family val="2"/>
    </font>
    <font>
      <sz val="10"/>
      <color rgb="FFFF0000"/>
      <name val="Arial"/>
      <family val="2"/>
    </font>
    <font>
      <b/>
      <sz val="10"/>
      <color rgb="FF7030A0"/>
      <name val="Arial"/>
      <family val="2"/>
    </font>
    <font>
      <sz val="10"/>
      <color rgb="FF7030A0"/>
      <name val="Arial"/>
      <family val="2"/>
    </font>
    <font>
      <b/>
      <i/>
      <sz val="10"/>
      <color rgb="FF7030A0"/>
      <name val="Arial"/>
      <family val="2"/>
    </font>
    <font>
      <b/>
      <sz val="12"/>
      <color rgb="FF00B050"/>
      <name val="Calibri"/>
      <family val="2"/>
    </font>
    <font>
      <b/>
      <sz val="12"/>
      <color rgb="FFFF0000"/>
      <name val="Calibri"/>
      <family val="2"/>
    </font>
    <font>
      <sz val="14"/>
      <color rgb="FFFFFF00"/>
      <name val="Arial"/>
      <family val="2"/>
    </font>
    <font>
      <b/>
      <sz val="14"/>
      <color rgb="FFFFFF00"/>
      <name val="Arial"/>
      <family val="2"/>
    </font>
    <font>
      <sz val="10"/>
      <color theme="0" tint="-0.499984740745262"/>
      <name val="Arial"/>
      <family val="2"/>
    </font>
    <font>
      <b/>
      <sz val="12"/>
      <color rgb="FFFF0000"/>
      <name val="Arial"/>
      <family val="2"/>
    </font>
    <font>
      <b/>
      <i/>
      <sz val="12"/>
      <color rgb="FF444444"/>
      <name val="Arial"/>
      <family val="2"/>
    </font>
    <font>
      <i/>
      <sz val="12"/>
      <color rgb="FF444444"/>
      <name val="Arial"/>
      <family val="2"/>
    </font>
    <font>
      <sz val="12"/>
      <color rgb="FF444444"/>
      <name val="Arial"/>
      <family val="2"/>
    </font>
    <font>
      <b/>
      <sz val="12"/>
      <color rgb="FF1B8BE0"/>
      <name val="Arial"/>
      <family val="2"/>
    </font>
    <font>
      <b/>
      <i/>
      <sz val="12"/>
      <color rgb="FF1B8BE0"/>
      <name val="Arial"/>
      <family val="2"/>
    </font>
    <font>
      <sz val="9"/>
      <color theme="0"/>
      <name val="Arial"/>
      <family val="2"/>
    </font>
    <font>
      <i/>
      <sz val="10"/>
      <color rgb="FF7030A0"/>
      <name val="Arial"/>
      <family val="2"/>
    </font>
    <font>
      <b/>
      <sz val="9"/>
      <color theme="0"/>
      <name val="Arial"/>
      <family val="2"/>
    </font>
    <font>
      <b/>
      <sz val="16"/>
      <color rgb="FF7030A0"/>
      <name val="Arial"/>
      <family val="2"/>
    </font>
    <font>
      <u/>
      <sz val="10"/>
      <color theme="0"/>
      <name val="Arial"/>
      <family val="2"/>
    </font>
    <font>
      <i/>
      <sz val="12"/>
      <color rgb="FFFFFF00"/>
      <name val="Arial"/>
      <family val="2"/>
    </font>
    <font>
      <b/>
      <sz val="10"/>
      <color theme="0"/>
      <name val="Arial"/>
      <family val="2"/>
    </font>
    <font>
      <sz val="11"/>
      <color rgb="FFFFFF00"/>
      <name val="Arial"/>
      <family val="2"/>
    </font>
    <font>
      <b/>
      <i/>
      <sz val="14"/>
      <color theme="1"/>
      <name val="Arial"/>
      <family val="2"/>
    </font>
    <font>
      <b/>
      <sz val="10"/>
      <color theme="1"/>
      <name val="Arial"/>
      <family val="2"/>
    </font>
    <font>
      <b/>
      <sz val="12"/>
      <color theme="1"/>
      <name val="Arial"/>
      <family val="2"/>
    </font>
    <font>
      <sz val="10"/>
      <color theme="1"/>
      <name val="Tahoma"/>
      <family val="2"/>
    </font>
    <font>
      <sz val="10"/>
      <color rgb="FFFFFF00"/>
      <name val="Tahoma"/>
      <family val="2"/>
    </font>
    <font>
      <b/>
      <sz val="9"/>
      <color rgb="FFFFFF00"/>
      <name val="Arial"/>
      <family val="2"/>
    </font>
    <font>
      <b/>
      <i/>
      <sz val="9"/>
      <color rgb="FF7030A0"/>
      <name val="Arial"/>
      <family val="2"/>
    </font>
    <font>
      <b/>
      <i/>
      <sz val="8"/>
      <color rgb="FF7030A0"/>
      <name val="Arial"/>
      <family val="2"/>
    </font>
    <font>
      <i/>
      <sz val="9"/>
      <color rgb="FF7030A0"/>
      <name val="Arial"/>
      <family val="2"/>
    </font>
    <font>
      <i/>
      <sz val="8"/>
      <color rgb="FF7030A0"/>
      <name val="Arial"/>
      <family val="2"/>
    </font>
    <font>
      <b/>
      <i/>
      <sz val="10"/>
      <color rgb="FFFFFF00"/>
      <name val="Arial"/>
      <family val="2"/>
    </font>
    <font>
      <sz val="18"/>
      <color rgb="FFFFFF00"/>
      <name val="Arial"/>
      <family val="2"/>
    </font>
    <font>
      <b/>
      <sz val="12"/>
      <color rgb="FFFFFF00"/>
      <name val="Arial"/>
      <family val="2"/>
    </font>
    <font>
      <i/>
      <sz val="9"/>
      <color theme="0"/>
      <name val="Arial"/>
      <family val="2"/>
    </font>
    <font>
      <sz val="12"/>
      <color rgb="FF7030A0"/>
      <name val="Arial"/>
      <family val="2"/>
    </font>
    <font>
      <b/>
      <sz val="12"/>
      <color rgb="FF008000"/>
      <name val="Calibri"/>
      <family val="2"/>
    </font>
    <font>
      <sz val="9"/>
      <color rgb="FF7030A0"/>
      <name val="Arial"/>
      <family val="2"/>
    </font>
    <font>
      <i/>
      <sz val="9"/>
      <color rgb="FFFFFF00"/>
      <name val="Arial"/>
      <family val="2"/>
    </font>
    <font>
      <sz val="9"/>
      <color rgb="FFFFFF00"/>
      <name val="Arial"/>
      <family val="2"/>
    </font>
    <font>
      <sz val="10"/>
      <color theme="0" tint="-0.249977111117893"/>
      <name val="Arial"/>
      <family val="2"/>
    </font>
    <font>
      <b/>
      <sz val="12"/>
      <color rgb="FF7030A0"/>
      <name val="Arial"/>
      <family val="2"/>
    </font>
    <font>
      <sz val="10"/>
      <color theme="0" tint="-0.34998626667073579"/>
      <name val="Arial"/>
      <family val="2"/>
    </font>
    <font>
      <b/>
      <sz val="11"/>
      <color rgb="FFFFFF00"/>
      <name val="Arial"/>
      <family val="2"/>
    </font>
    <font>
      <i/>
      <sz val="9"/>
      <color theme="1"/>
      <name val="Arial"/>
      <family val="2"/>
    </font>
  </fonts>
  <fills count="25">
    <fill>
      <patternFill patternType="none"/>
    </fill>
    <fill>
      <patternFill patternType="gray125"/>
    </fill>
    <fill>
      <patternFill patternType="solid">
        <fgColor indexed="13"/>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bgColor indexed="64"/>
      </patternFill>
    </fill>
    <fill>
      <patternFill patternType="solid">
        <fgColor rgb="FF7030A0"/>
        <bgColor indexed="64"/>
      </patternFill>
    </fill>
    <fill>
      <patternFill patternType="solid">
        <fgColor theme="1"/>
        <bgColor indexed="64"/>
      </patternFill>
    </fill>
    <fill>
      <patternFill patternType="solid">
        <fgColor rgb="FFFFFF00"/>
        <bgColor indexed="64"/>
      </patternFill>
    </fill>
    <fill>
      <patternFill patternType="solid">
        <fgColor theme="2" tint="-0.249977111117893"/>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rgb="FF92D050"/>
        <bgColor indexed="64"/>
      </patternFill>
    </fill>
    <fill>
      <patternFill patternType="solid">
        <fgColor rgb="FFFF00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249977111117893"/>
        <bgColor indexed="64"/>
      </patternFill>
    </fill>
    <fill>
      <patternFill patternType="solid">
        <fgColor theme="6" tint="0.79998168889431442"/>
        <bgColor indexed="64"/>
      </patternFill>
    </fill>
    <fill>
      <patternFill patternType="solid">
        <fgColor rgb="FF3333FF"/>
        <bgColor indexed="64"/>
      </patternFill>
    </fill>
  </fills>
  <borders count="11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style="thin">
        <color indexed="64"/>
      </bottom>
      <diagonal/>
    </border>
    <border>
      <left/>
      <right/>
      <top style="thick">
        <color indexed="64"/>
      </top>
      <bottom/>
      <diagonal/>
    </border>
    <border>
      <left style="medium">
        <color indexed="64"/>
      </left>
      <right style="medium">
        <color indexed="64"/>
      </right>
      <top style="medium">
        <color indexed="64"/>
      </top>
      <bottom style="medium">
        <color indexed="64"/>
      </bottom>
      <diagonal/>
    </border>
    <border>
      <left/>
      <right/>
      <top/>
      <bottom style="thick">
        <color indexed="64"/>
      </bottom>
      <diagonal/>
    </border>
    <border>
      <left/>
      <right/>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ck">
        <color indexed="64"/>
      </top>
      <bottom/>
      <diagonal/>
    </border>
    <border>
      <left style="medium">
        <color indexed="64"/>
      </left>
      <right style="hair">
        <color indexed="64"/>
      </right>
      <top style="thick">
        <color indexed="64"/>
      </top>
      <bottom/>
      <diagonal/>
    </border>
    <border>
      <left style="hair">
        <color indexed="64"/>
      </left>
      <right style="hair">
        <color indexed="64"/>
      </right>
      <top/>
      <bottom/>
      <diagonal/>
    </border>
    <border>
      <left style="hair">
        <color indexed="64"/>
      </left>
      <right style="hair">
        <color indexed="64"/>
      </right>
      <top style="thick">
        <color indexed="64"/>
      </top>
      <bottom/>
      <diagonal/>
    </border>
    <border>
      <left style="hair">
        <color indexed="64"/>
      </left>
      <right style="medium">
        <color indexed="64"/>
      </right>
      <top style="thick">
        <color indexed="64"/>
      </top>
      <bottom/>
      <diagonal/>
    </border>
    <border>
      <left/>
      <right style="medium">
        <color indexed="64"/>
      </right>
      <top style="medium">
        <color indexed="64"/>
      </top>
      <bottom style="medium">
        <color indexed="64"/>
      </bottom>
      <diagonal/>
    </border>
    <border>
      <left style="medium">
        <color indexed="64"/>
      </left>
      <right style="hair">
        <color indexed="64"/>
      </right>
      <top/>
      <bottom/>
      <diagonal/>
    </border>
    <border>
      <left style="hair">
        <color indexed="64"/>
      </left>
      <right style="medium">
        <color indexed="64"/>
      </right>
      <top/>
      <bottom/>
      <diagonal/>
    </border>
    <border>
      <left/>
      <right style="medium">
        <color indexed="64"/>
      </right>
      <top/>
      <bottom/>
      <diagonal/>
    </border>
    <border>
      <left style="medium">
        <color indexed="64"/>
      </left>
      <right style="hair">
        <color indexed="64"/>
      </right>
      <top/>
      <bottom style="thick">
        <color indexed="64"/>
      </bottom>
      <diagonal/>
    </border>
    <border>
      <left style="hair">
        <color indexed="64"/>
      </left>
      <right style="hair">
        <color indexed="64"/>
      </right>
      <top/>
      <bottom style="thick">
        <color indexed="64"/>
      </bottom>
      <diagonal/>
    </border>
    <border>
      <left style="thick">
        <color indexed="64"/>
      </left>
      <right/>
      <top style="thick">
        <color indexed="64"/>
      </top>
      <bottom/>
      <diagonal/>
    </border>
    <border>
      <left style="medium">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bottom/>
      <diagonal/>
    </border>
    <border>
      <left style="medium">
        <color indexed="64"/>
      </left>
      <right style="thick">
        <color indexed="64"/>
      </right>
      <top/>
      <bottom/>
      <diagonal/>
    </border>
    <border>
      <left style="thick">
        <color indexed="64"/>
      </left>
      <right/>
      <top/>
      <bottom style="thick">
        <color indexed="64"/>
      </bottom>
      <diagonal/>
    </border>
    <border>
      <left style="medium">
        <color indexed="64"/>
      </left>
      <right style="thick">
        <color indexed="64"/>
      </right>
      <top/>
      <bottom style="thick">
        <color indexed="64"/>
      </bottom>
      <diagonal/>
    </border>
    <border>
      <left style="thick">
        <color indexed="64"/>
      </left>
      <right style="thick">
        <color indexed="64"/>
      </right>
      <top/>
      <bottom style="thick">
        <color indexed="64"/>
      </bottom>
      <diagonal/>
    </border>
    <border>
      <left style="thick">
        <color indexed="64"/>
      </left>
      <right style="thick">
        <color indexed="64"/>
      </right>
      <top style="thick">
        <color indexed="64"/>
      </top>
      <bottom/>
      <diagonal/>
    </border>
    <border>
      <left style="medium">
        <color indexed="64"/>
      </left>
      <right style="hair">
        <color indexed="64"/>
      </right>
      <top style="medium">
        <color indexed="64"/>
      </top>
      <bottom/>
      <diagonal/>
    </border>
    <border>
      <left style="hair">
        <color indexed="64"/>
      </left>
      <right style="hair">
        <color indexed="64"/>
      </right>
      <top style="medium">
        <color indexed="64"/>
      </top>
      <bottom style="thick">
        <color indexed="64"/>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style="medium">
        <color indexed="64"/>
      </left>
      <right/>
      <top/>
      <bottom/>
      <diagonal/>
    </border>
    <border>
      <left style="medium">
        <color indexed="64"/>
      </left>
      <right/>
      <top/>
      <bottom style="thick">
        <color indexed="64"/>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style="dotted">
        <color indexed="64"/>
      </bottom>
      <diagonal/>
    </border>
    <border>
      <left/>
      <right/>
      <top/>
      <bottom style="dotted">
        <color indexed="64"/>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style="medium">
        <color indexed="64"/>
      </right>
      <top style="dotted">
        <color indexed="64"/>
      </top>
      <bottom/>
      <diagonal/>
    </border>
    <border>
      <left style="thin">
        <color rgb="FFFFFF00"/>
      </left>
      <right style="thin">
        <color rgb="FFFFFF00"/>
      </right>
      <top style="thin">
        <color rgb="FFFFFF00"/>
      </top>
      <bottom style="thin">
        <color rgb="FFFFFF00"/>
      </bottom>
      <diagonal/>
    </border>
    <border>
      <left style="thin">
        <color indexed="64"/>
      </left>
      <right style="thin">
        <color indexed="64"/>
      </right>
      <top style="thin">
        <color indexed="64"/>
      </top>
      <bottom style="thick">
        <color rgb="FF7030A0"/>
      </bottom>
      <diagonal/>
    </border>
    <border>
      <left style="thin">
        <color indexed="64"/>
      </left>
      <right style="thin">
        <color indexed="64"/>
      </right>
      <top style="thick">
        <color rgb="FF7030A0"/>
      </top>
      <bottom style="thin">
        <color indexed="64"/>
      </bottom>
      <diagonal/>
    </border>
    <border>
      <left style="thin">
        <color rgb="FF999999"/>
      </left>
      <right/>
      <top style="thin">
        <color rgb="FF999999"/>
      </top>
      <bottom/>
      <diagonal/>
    </border>
    <border>
      <left style="thin">
        <color rgb="FFFFFF00"/>
      </left>
      <right style="thin">
        <color rgb="FF7030A0"/>
      </right>
      <top style="thin">
        <color rgb="FFFFFF00"/>
      </top>
      <bottom style="thin">
        <color rgb="FFFFFF00"/>
      </bottom>
      <diagonal/>
    </border>
    <border>
      <left style="thin">
        <color rgb="FF7030A0"/>
      </left>
      <right style="thin">
        <color rgb="FF7030A0"/>
      </right>
      <top style="thin">
        <color rgb="FFFFFF00"/>
      </top>
      <bottom style="thin">
        <color rgb="FFFFFF00"/>
      </bottom>
      <diagonal/>
    </border>
    <border>
      <left style="thin">
        <color rgb="FF7030A0"/>
      </left>
      <right style="thin">
        <color rgb="FFFFFF00"/>
      </right>
      <top style="thin">
        <color rgb="FFFFFF00"/>
      </top>
      <bottom style="thin">
        <color rgb="FFFFFF00"/>
      </bottom>
      <diagonal/>
    </border>
    <border>
      <left style="thin">
        <color rgb="FF7030A0"/>
      </left>
      <right style="thin">
        <color rgb="FF7030A0"/>
      </right>
      <top style="thin">
        <color rgb="FF7030A0"/>
      </top>
      <bottom style="thin">
        <color rgb="FF7030A0"/>
      </bottom>
      <diagonal/>
    </border>
    <border>
      <left style="thin">
        <color rgb="FF7030A0"/>
      </left>
      <right style="thin">
        <color rgb="FF7030A0"/>
      </right>
      <top style="thin">
        <color rgb="FF7030A0"/>
      </top>
      <bottom/>
      <diagonal/>
    </border>
    <border>
      <left style="thin">
        <color rgb="FF7030A0"/>
      </left>
      <right style="thin">
        <color rgb="FF7030A0"/>
      </right>
      <top style="thick">
        <color rgb="FF7030A0"/>
      </top>
      <bottom style="thin">
        <color rgb="FF7030A0"/>
      </bottom>
      <diagonal/>
    </border>
    <border>
      <left style="thin">
        <color rgb="FF7030A0"/>
      </left>
      <right/>
      <top style="thin">
        <color rgb="FF7030A0"/>
      </top>
      <bottom style="thin">
        <color rgb="FF7030A0"/>
      </bottom>
      <diagonal/>
    </border>
    <border>
      <left style="thin">
        <color rgb="FF7030A0"/>
      </left>
      <right/>
      <top style="thin">
        <color rgb="FF7030A0"/>
      </top>
      <bottom/>
      <diagonal/>
    </border>
    <border>
      <left style="thin">
        <color rgb="FF7030A0"/>
      </left>
      <right/>
      <top style="thick">
        <color rgb="FF7030A0"/>
      </top>
      <bottom style="thin">
        <color rgb="FF7030A0"/>
      </bottom>
      <diagonal/>
    </border>
    <border>
      <left style="thick">
        <color rgb="FF7030A0"/>
      </left>
      <right style="thin">
        <color rgb="FF7030A0"/>
      </right>
      <top style="thick">
        <color rgb="FF7030A0"/>
      </top>
      <bottom style="thin">
        <color rgb="FF7030A0"/>
      </bottom>
      <diagonal/>
    </border>
    <border>
      <left style="thick">
        <color rgb="FF7030A0"/>
      </left>
      <right style="thin">
        <color rgb="FF7030A0"/>
      </right>
      <top style="thin">
        <color rgb="FF7030A0"/>
      </top>
      <bottom style="thin">
        <color rgb="FF7030A0"/>
      </bottom>
      <diagonal/>
    </border>
    <border>
      <left style="thick">
        <color rgb="FF7030A0"/>
      </left>
      <right style="thin">
        <color rgb="FF7030A0"/>
      </right>
      <top style="thin">
        <color rgb="FF7030A0"/>
      </top>
      <bottom/>
      <diagonal/>
    </border>
    <border>
      <left style="thin">
        <color rgb="FF7030A0"/>
      </left>
      <right style="thin">
        <color rgb="FF7030A0"/>
      </right>
      <top/>
      <bottom style="thin">
        <color rgb="FF7030A0"/>
      </bottom>
      <diagonal/>
    </border>
    <border>
      <left style="thin">
        <color rgb="FF7030A0"/>
      </left>
      <right/>
      <top/>
      <bottom style="thin">
        <color rgb="FF7030A0"/>
      </bottom>
      <diagonal/>
    </border>
    <border>
      <left/>
      <right style="thin">
        <color rgb="FF7030A0"/>
      </right>
      <top/>
      <bottom style="thin">
        <color rgb="FF7030A0"/>
      </bottom>
      <diagonal/>
    </border>
    <border>
      <left/>
      <right/>
      <top style="thin">
        <color rgb="FF999999"/>
      </top>
      <bottom/>
      <diagonal/>
    </border>
    <border>
      <left style="thin">
        <color indexed="64"/>
      </left>
      <right/>
      <top style="thin">
        <color indexed="64"/>
      </top>
      <bottom style="thick">
        <color rgb="FF7030A0"/>
      </bottom>
      <diagonal/>
    </border>
    <border>
      <left style="thin">
        <color indexed="64"/>
      </left>
      <right/>
      <top style="thick">
        <color rgb="FF7030A0"/>
      </top>
      <bottom style="thin">
        <color indexed="64"/>
      </bottom>
      <diagonal/>
    </border>
    <border>
      <left style="thick">
        <color rgb="FF7030A0"/>
      </left>
      <right style="thin">
        <color indexed="64"/>
      </right>
      <top style="thin">
        <color indexed="64"/>
      </top>
      <bottom style="thin">
        <color indexed="64"/>
      </bottom>
      <diagonal/>
    </border>
    <border>
      <left style="thick">
        <color rgb="FF7030A0"/>
      </left>
      <right style="thin">
        <color indexed="64"/>
      </right>
      <top style="thin">
        <color indexed="64"/>
      </top>
      <bottom style="thick">
        <color rgb="FF7030A0"/>
      </bottom>
      <diagonal/>
    </border>
    <border>
      <left style="thick">
        <color rgb="FF7030A0"/>
      </left>
      <right style="thin">
        <color indexed="64"/>
      </right>
      <top style="thick">
        <color rgb="FF7030A0"/>
      </top>
      <bottom style="thin">
        <color indexed="64"/>
      </bottom>
      <diagonal/>
    </border>
    <border>
      <left/>
      <right style="thick">
        <color rgb="FF7030A0"/>
      </right>
      <top style="thin">
        <color indexed="64"/>
      </top>
      <bottom style="thin">
        <color indexed="64"/>
      </bottom>
      <diagonal/>
    </border>
    <border>
      <left/>
      <right style="thick">
        <color rgb="FF7030A0"/>
      </right>
      <top style="thin">
        <color indexed="64"/>
      </top>
      <bottom style="thick">
        <color rgb="FF7030A0"/>
      </bottom>
      <diagonal/>
    </border>
    <border>
      <left/>
      <right style="thick">
        <color rgb="FF7030A0"/>
      </right>
      <top style="thick">
        <color rgb="FF7030A0"/>
      </top>
      <bottom style="thin">
        <color indexed="64"/>
      </bottom>
      <diagonal/>
    </border>
    <border>
      <left style="thin">
        <color indexed="64"/>
      </left>
      <right style="thick">
        <color indexed="64"/>
      </right>
      <top/>
      <bottom style="thick">
        <color indexed="64"/>
      </bottom>
      <diagonal/>
    </border>
    <border>
      <left style="thin">
        <color indexed="64"/>
      </left>
      <right style="thick">
        <color indexed="64"/>
      </right>
      <top/>
      <bottom/>
      <diagonal/>
    </border>
    <border>
      <left style="thick">
        <color indexed="64"/>
      </left>
      <right style="thin">
        <color indexed="64"/>
      </right>
      <top style="thick">
        <color indexed="64"/>
      </top>
      <bottom style="thick">
        <color indexed="64"/>
      </bottom>
      <diagonal/>
    </border>
    <border>
      <left style="thick">
        <color indexed="64"/>
      </left>
      <right style="thin">
        <color indexed="64"/>
      </right>
      <top style="thick">
        <color indexed="64"/>
      </top>
      <bottom/>
      <diagonal/>
    </border>
    <border>
      <left style="thick">
        <color indexed="64"/>
      </left>
      <right style="thin">
        <color indexed="64"/>
      </right>
      <top/>
      <bottom/>
      <diagonal/>
    </border>
    <border>
      <left style="thick">
        <color indexed="64"/>
      </left>
      <right style="thin">
        <color indexed="64"/>
      </right>
      <top/>
      <bottom style="thick">
        <color indexed="64"/>
      </bottom>
      <diagonal/>
    </border>
    <border>
      <left style="thin">
        <color indexed="64"/>
      </left>
      <right style="thick">
        <color indexed="64"/>
      </right>
      <top style="thick">
        <color indexed="64"/>
      </top>
      <bottom style="thick">
        <color indexed="64"/>
      </bottom>
      <diagonal/>
    </border>
    <border>
      <left style="hair">
        <color indexed="64"/>
      </left>
      <right style="medium">
        <color indexed="64"/>
      </right>
      <top/>
      <bottom style="thick">
        <color indexed="64"/>
      </bottom>
      <diagonal/>
    </border>
    <border>
      <left/>
      <right style="medium">
        <color indexed="64"/>
      </right>
      <top/>
      <bottom style="thick">
        <color indexed="64"/>
      </bottom>
      <diagonal/>
    </border>
    <border>
      <left/>
      <right style="thick">
        <color indexed="64"/>
      </right>
      <top style="medium">
        <color indexed="64"/>
      </top>
      <bottom/>
      <diagonal/>
    </border>
    <border>
      <left/>
      <right style="thick">
        <color indexed="64"/>
      </right>
      <top/>
      <bottom/>
      <diagonal/>
    </border>
    <border>
      <left/>
      <right style="thick">
        <color indexed="64"/>
      </right>
      <top style="dotted">
        <color indexed="64"/>
      </top>
      <bottom/>
      <diagonal/>
    </border>
    <border>
      <left/>
      <right style="thick">
        <color indexed="64"/>
      </right>
      <top/>
      <bottom style="medium">
        <color indexed="64"/>
      </bottom>
      <diagonal/>
    </border>
    <border>
      <left/>
      <right style="thick">
        <color indexed="64"/>
      </right>
      <top/>
      <bottom style="dotted">
        <color indexed="64"/>
      </bottom>
      <diagonal/>
    </border>
    <border>
      <left style="thin">
        <color theme="1"/>
      </left>
      <right style="thin">
        <color theme="1"/>
      </right>
      <top style="thin">
        <color theme="1"/>
      </top>
      <bottom style="thin">
        <color theme="1"/>
      </bottom>
      <diagonal/>
    </border>
    <border>
      <left style="thin">
        <color rgb="FF999999"/>
      </left>
      <right/>
      <top/>
      <bottom/>
      <diagonal/>
    </border>
    <border>
      <left style="thick">
        <color rgb="FF7030A0"/>
      </left>
      <right/>
      <top/>
      <bottom/>
      <diagonal/>
    </border>
    <border>
      <left style="thick">
        <color rgb="FF7030A0"/>
      </left>
      <right/>
      <top/>
      <bottom style="thin">
        <color rgb="FF7030A0"/>
      </bottom>
      <diagonal/>
    </border>
    <border>
      <left style="thin">
        <color rgb="FF999999"/>
      </left>
      <right style="thin">
        <color rgb="FF999999"/>
      </right>
      <top style="thin">
        <color rgb="FF999999"/>
      </top>
      <bottom/>
      <diagonal/>
    </border>
    <border>
      <left style="thin">
        <color rgb="FF999999"/>
      </left>
      <right style="thin">
        <color rgb="FF999999"/>
      </right>
      <top/>
      <bottom/>
      <diagonal/>
    </border>
    <border>
      <left style="thin">
        <color rgb="FF999999"/>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right/>
      <top style="thin">
        <color rgb="FF999999"/>
      </top>
      <bottom style="thin">
        <color rgb="FF999999"/>
      </bottom>
      <diagonal/>
    </border>
  </borders>
  <cellStyleXfs count="2">
    <xf numFmtId="0" fontId="0" fillId="0" borderId="0"/>
    <xf numFmtId="0" fontId="2" fillId="0" borderId="0" applyNumberFormat="0" applyFill="0" applyBorder="0" applyAlignment="0" applyProtection="0">
      <alignment vertical="top"/>
      <protection locked="0"/>
    </xf>
  </cellStyleXfs>
  <cellXfs count="777">
    <xf numFmtId="0" fontId="0" fillId="0" borderId="0" xfId="0"/>
    <xf numFmtId="0" fontId="0" fillId="0" borderId="0" xfId="0" applyAlignment="1">
      <alignment horizontal="center"/>
    </xf>
    <xf numFmtId="49" fontId="0" fillId="0" borderId="0" xfId="0" applyNumberFormat="1" applyAlignment="1">
      <alignment horizontal="center"/>
    </xf>
    <xf numFmtId="2" fontId="0" fillId="0" borderId="0" xfId="0" applyNumberFormat="1" applyAlignment="1">
      <alignment horizontal="center"/>
    </xf>
    <xf numFmtId="0" fontId="0" fillId="0" borderId="0" xfId="0" applyAlignment="1">
      <alignment horizontal="left"/>
    </xf>
    <xf numFmtId="0" fontId="1" fillId="2" borderId="1" xfId="0" applyFont="1" applyFill="1" applyBorder="1" applyAlignment="1">
      <alignment horizontal="center"/>
    </xf>
    <xf numFmtId="0" fontId="1" fillId="2" borderId="2" xfId="0" applyFont="1" applyFill="1" applyBorder="1" applyAlignment="1">
      <alignment horizontal="center"/>
    </xf>
    <xf numFmtId="2" fontId="1" fillId="2" borderId="2" xfId="0" applyNumberFormat="1" applyFont="1" applyFill="1" applyBorder="1" applyAlignment="1">
      <alignment horizontal="center"/>
    </xf>
    <xf numFmtId="0" fontId="4" fillId="0" borderId="0" xfId="0" applyFont="1"/>
    <xf numFmtId="166" fontId="0" fillId="0" borderId="0" xfId="0" applyNumberFormat="1" applyAlignment="1">
      <alignment horizontal="left"/>
    </xf>
    <xf numFmtId="0" fontId="4" fillId="0" borderId="0" xfId="0" applyFont="1" applyAlignment="1">
      <alignment horizontal="center"/>
    </xf>
    <xf numFmtId="0" fontId="4" fillId="0" borderId="0" xfId="0" quotePrefix="1" applyFont="1" applyAlignment="1">
      <alignment horizontal="center"/>
    </xf>
    <xf numFmtId="167" fontId="4" fillId="0" borderId="0" xfId="0" applyNumberFormat="1" applyFont="1"/>
    <xf numFmtId="167" fontId="0" fillId="0" borderId="0" xfId="0" applyNumberFormat="1"/>
    <xf numFmtId="0" fontId="4" fillId="0" borderId="0" xfId="0" applyFont="1" applyAlignment="1">
      <alignment horizontal="left"/>
    </xf>
    <xf numFmtId="168" fontId="0" fillId="0" borderId="0" xfId="0" applyNumberFormat="1" applyAlignment="1">
      <alignment horizontal="left"/>
    </xf>
    <xf numFmtId="169" fontId="0" fillId="0" borderId="0" xfId="0" applyNumberFormat="1" applyAlignment="1">
      <alignment horizontal="left"/>
    </xf>
    <xf numFmtId="16" fontId="0" fillId="0" borderId="0" xfId="0" applyNumberFormat="1"/>
    <xf numFmtId="2" fontId="4" fillId="0" borderId="0" xfId="0" applyNumberFormat="1" applyFont="1" applyAlignment="1">
      <alignment horizontal="center"/>
    </xf>
    <xf numFmtId="2" fontId="4" fillId="0" borderId="0" xfId="0" applyNumberFormat="1" applyFont="1"/>
    <xf numFmtId="0" fontId="4" fillId="0" borderId="0" xfId="0" applyFont="1" applyAlignment="1">
      <alignment vertical="center"/>
    </xf>
    <xf numFmtId="168" fontId="4" fillId="3" borderId="0" xfId="0" applyNumberFormat="1" applyFont="1" applyFill="1" applyAlignment="1">
      <alignment horizontal="left"/>
    </xf>
    <xf numFmtId="166" fontId="4" fillId="3" borderId="0" xfId="0" applyNumberFormat="1" applyFont="1" applyFill="1" applyAlignment="1">
      <alignment horizontal="left"/>
    </xf>
    <xf numFmtId="0" fontId="4" fillId="3" borderId="0" xfId="0" applyFont="1" applyFill="1" applyAlignment="1">
      <alignment horizontal="left"/>
    </xf>
    <xf numFmtId="0" fontId="4" fillId="3" borderId="0" xfId="0" applyFont="1" applyFill="1"/>
    <xf numFmtId="168" fontId="0" fillId="3" borderId="0" xfId="0" applyNumberFormat="1" applyFill="1" applyAlignment="1">
      <alignment horizontal="left"/>
    </xf>
    <xf numFmtId="0" fontId="4" fillId="4" borderId="0" xfId="0" applyFont="1" applyFill="1"/>
    <xf numFmtId="0" fontId="0" fillId="4" borderId="0" xfId="0" applyFill="1"/>
    <xf numFmtId="0" fontId="3" fillId="0" borderId="0" xfId="0" applyFont="1"/>
    <xf numFmtId="0" fontId="4" fillId="4" borderId="0" xfId="0" applyFont="1" applyFill="1" applyAlignment="1">
      <alignment horizontal="left"/>
    </xf>
    <xf numFmtId="0" fontId="0" fillId="4" borderId="0" xfId="0" applyFill="1" applyAlignment="1">
      <alignment horizontal="left"/>
    </xf>
    <xf numFmtId="0" fontId="4" fillId="5" borderId="0" xfId="0" applyFont="1" applyFill="1"/>
    <xf numFmtId="0" fontId="0" fillId="5" borderId="0" xfId="0" applyFill="1"/>
    <xf numFmtId="0" fontId="0" fillId="5" borderId="0" xfId="0" applyFill="1" applyAlignment="1">
      <alignment horizontal="center"/>
    </xf>
    <xf numFmtId="0" fontId="4" fillId="5" borderId="0" xfId="0" quotePrefix="1" applyFont="1" applyFill="1" applyAlignment="1">
      <alignment horizontal="center"/>
    </xf>
    <xf numFmtId="0" fontId="4" fillId="7" borderId="6" xfId="0" applyFont="1" applyFill="1" applyBorder="1"/>
    <xf numFmtId="0" fontId="4" fillId="7" borderId="0" xfId="0" applyFont="1" applyFill="1"/>
    <xf numFmtId="0" fontId="4" fillId="7" borderId="7" xfId="0" applyFont="1" applyFill="1" applyBorder="1"/>
    <xf numFmtId="0" fontId="4" fillId="7" borderId="8" xfId="0" applyFont="1" applyFill="1" applyBorder="1"/>
    <xf numFmtId="0" fontId="4" fillId="7" borderId="9" xfId="0" applyFont="1" applyFill="1" applyBorder="1" applyAlignment="1">
      <alignment horizontal="center"/>
    </xf>
    <xf numFmtId="0" fontId="4" fillId="7" borderId="10" xfId="0" applyFont="1" applyFill="1" applyBorder="1" applyAlignment="1">
      <alignment horizontal="center"/>
    </xf>
    <xf numFmtId="0" fontId="4" fillId="7" borderId="11" xfId="0" applyFont="1" applyFill="1" applyBorder="1"/>
    <xf numFmtId="0" fontId="4" fillId="7" borderId="12" xfId="0" applyFont="1" applyFill="1" applyBorder="1"/>
    <xf numFmtId="0" fontId="4" fillId="7" borderId="13" xfId="0" applyFont="1" applyFill="1" applyBorder="1" applyAlignment="1">
      <alignment horizontal="center"/>
    </xf>
    <xf numFmtId="2" fontId="4" fillId="8" borderId="0" xfId="0" applyNumberFormat="1" applyFont="1" applyFill="1" applyAlignment="1">
      <alignment horizontal="center"/>
    </xf>
    <xf numFmtId="0" fontId="0" fillId="0" borderId="0" xfId="0" applyAlignment="1">
      <alignment horizontal="right"/>
    </xf>
    <xf numFmtId="0" fontId="5" fillId="0" borderId="0" xfId="0" applyFont="1"/>
    <xf numFmtId="2" fontId="5" fillId="0" borderId="0" xfId="0" applyNumberFormat="1" applyFont="1" applyAlignment="1">
      <alignment horizontal="center"/>
    </xf>
    <xf numFmtId="0" fontId="5" fillId="0" borderId="0" xfId="0" applyFont="1" applyAlignment="1">
      <alignment horizontal="center"/>
    </xf>
    <xf numFmtId="2" fontId="5" fillId="0" borderId="0" xfId="0" applyNumberFormat="1" applyFont="1"/>
    <xf numFmtId="170" fontId="5" fillId="0" borderId="0" xfId="0" applyNumberFormat="1" applyFont="1" applyAlignment="1">
      <alignment horizontal="center"/>
    </xf>
    <xf numFmtId="8" fontId="5" fillId="0" borderId="0" xfId="0" applyNumberFormat="1" applyFont="1" applyAlignment="1">
      <alignment horizontal="center"/>
    </xf>
    <xf numFmtId="171" fontId="5" fillId="0" borderId="0" xfId="0" applyNumberFormat="1" applyFont="1" applyAlignment="1">
      <alignment horizontal="center"/>
    </xf>
    <xf numFmtId="172" fontId="5" fillId="0" borderId="0" xfId="0" applyNumberFormat="1" applyFont="1" applyAlignment="1">
      <alignment horizontal="center"/>
    </xf>
    <xf numFmtId="0" fontId="5" fillId="8" borderId="14" xfId="0" applyFont="1" applyFill="1" applyBorder="1" applyAlignment="1">
      <alignment horizontal="center"/>
    </xf>
    <xf numFmtId="8" fontId="0" fillId="0" borderId="0" xfId="0" applyNumberFormat="1" applyAlignment="1">
      <alignment horizontal="center"/>
    </xf>
    <xf numFmtId="0" fontId="18" fillId="9" borderId="15" xfId="0" applyFont="1" applyFill="1" applyBorder="1" applyAlignment="1">
      <alignment horizontal="center" wrapText="1"/>
    </xf>
    <xf numFmtId="0" fontId="19" fillId="9" borderId="66" xfId="0" applyFont="1" applyFill="1" applyBorder="1"/>
    <xf numFmtId="0" fontId="4" fillId="8" borderId="0" xfId="0" applyFont="1" applyFill="1"/>
    <xf numFmtId="0" fontId="4" fillId="8" borderId="0" xfId="0" applyFont="1" applyFill="1" applyAlignment="1">
      <alignment horizontal="left"/>
    </xf>
    <xf numFmtId="0" fontId="4" fillId="8" borderId="3" xfId="0" applyFont="1" applyFill="1" applyBorder="1" applyAlignment="1">
      <alignment horizontal="left"/>
    </xf>
    <xf numFmtId="0" fontId="4" fillId="8" borderId="5" xfId="0" applyFont="1" applyFill="1" applyBorder="1"/>
    <xf numFmtId="0" fontId="4" fillId="8" borderId="16" xfId="0" quotePrefix="1" applyFont="1" applyFill="1" applyBorder="1"/>
    <xf numFmtId="0" fontId="4" fillId="8" borderId="4" xfId="0" applyFont="1" applyFill="1" applyBorder="1" applyAlignment="1">
      <alignment horizontal="left"/>
    </xf>
    <xf numFmtId="0" fontId="4" fillId="8" borderId="4" xfId="0" applyFont="1" applyFill="1" applyBorder="1"/>
    <xf numFmtId="0" fontId="20" fillId="10" borderId="14" xfId="0" applyFont="1" applyFill="1" applyBorder="1" applyAlignment="1">
      <alignment horizontal="left"/>
    </xf>
    <xf numFmtId="2" fontId="20" fillId="10" borderId="14" xfId="0" applyNumberFormat="1" applyFont="1" applyFill="1" applyBorder="1"/>
    <xf numFmtId="0" fontId="4" fillId="8" borderId="5" xfId="0" applyFont="1" applyFill="1" applyBorder="1" applyAlignment="1">
      <alignment horizontal="left"/>
    </xf>
    <xf numFmtId="0" fontId="4" fillId="0" borderId="16" xfId="0" applyFont="1" applyBorder="1"/>
    <xf numFmtId="0" fontId="4" fillId="0" borderId="14" xfId="0" applyFont="1" applyBorder="1"/>
    <xf numFmtId="0" fontId="4" fillId="0" borderId="16" xfId="0" quotePrefix="1" applyFont="1" applyBorder="1"/>
    <xf numFmtId="2" fontId="4" fillId="0" borderId="14" xfId="0" applyNumberFormat="1" applyFont="1" applyBorder="1"/>
    <xf numFmtId="170" fontId="4" fillId="0" borderId="14" xfId="0" applyNumberFormat="1" applyFont="1" applyBorder="1"/>
    <xf numFmtId="0" fontId="4" fillId="0" borderId="9" xfId="0" applyFont="1" applyBorder="1" applyAlignment="1">
      <alignment horizontal="center"/>
    </xf>
    <xf numFmtId="0" fontId="4" fillId="0" borderId="13" xfId="0" applyFont="1" applyBorder="1"/>
    <xf numFmtId="170" fontId="7" fillId="8" borderId="0" xfId="0" applyNumberFormat="1" applyFont="1" applyFill="1"/>
    <xf numFmtId="0" fontId="0" fillId="8" borderId="0" xfId="0" applyFill="1"/>
    <xf numFmtId="0" fontId="0" fillId="8" borderId="0" xfId="0" applyFill="1" applyAlignment="1">
      <alignment horizontal="left"/>
    </xf>
    <xf numFmtId="170" fontId="7" fillId="8" borderId="0" xfId="0" applyNumberFormat="1" applyFont="1" applyFill="1" applyAlignment="1">
      <alignment horizontal="center"/>
    </xf>
    <xf numFmtId="0" fontId="4" fillId="8" borderId="0" xfId="0" applyFont="1" applyFill="1" applyAlignment="1">
      <alignment horizontal="center"/>
    </xf>
    <xf numFmtId="0" fontId="0" fillId="8" borderId="0" xfId="0" applyFill="1" applyAlignment="1">
      <alignment horizontal="center"/>
    </xf>
    <xf numFmtId="0" fontId="4" fillId="8" borderId="9" xfId="0" applyFont="1" applyFill="1" applyBorder="1" applyAlignment="1">
      <alignment horizontal="center"/>
    </xf>
    <xf numFmtId="0" fontId="4" fillId="8" borderId="6" xfId="0" applyFont="1" applyFill="1" applyBorder="1" applyAlignment="1">
      <alignment horizontal="left"/>
    </xf>
    <xf numFmtId="0" fontId="4" fillId="8" borderId="11" xfId="0" applyFont="1" applyFill="1" applyBorder="1" applyAlignment="1">
      <alignment horizontal="left"/>
    </xf>
    <xf numFmtId="0" fontId="4" fillId="8" borderId="7" xfId="0" applyFont="1" applyFill="1" applyBorder="1" applyAlignment="1">
      <alignment horizontal="left"/>
    </xf>
    <xf numFmtId="0" fontId="21" fillId="9" borderId="66" xfId="1" applyFont="1" applyFill="1" applyBorder="1" applyAlignment="1" applyProtection="1"/>
    <xf numFmtId="170" fontId="4" fillId="8" borderId="0" xfId="0" applyNumberFormat="1" applyFont="1" applyFill="1"/>
    <xf numFmtId="170" fontId="0" fillId="8" borderId="0" xfId="0" applyNumberFormat="1" applyFill="1"/>
    <xf numFmtId="0" fontId="4" fillId="8" borderId="6" xfId="0" applyFont="1" applyFill="1" applyBorder="1"/>
    <xf numFmtId="0" fontId="19" fillId="9" borderId="14" xfId="0" applyFont="1" applyFill="1" applyBorder="1"/>
    <xf numFmtId="168" fontId="4" fillId="8" borderId="0" xfId="0" applyNumberFormat="1" applyFont="1" applyFill="1" applyAlignment="1">
      <alignment horizontal="left"/>
    </xf>
    <xf numFmtId="170" fontId="4" fillId="8" borderId="14" xfId="0" applyNumberFormat="1" applyFont="1" applyFill="1" applyBorder="1"/>
    <xf numFmtId="0" fontId="0" fillId="0" borderId="6" xfId="0" applyBorder="1"/>
    <xf numFmtId="0" fontId="0" fillId="0" borderId="10" xfId="0" applyBorder="1"/>
    <xf numFmtId="165" fontId="0" fillId="0" borderId="10" xfId="0" applyNumberFormat="1" applyBorder="1"/>
    <xf numFmtId="6" fontId="0" fillId="0" borderId="10" xfId="0" applyNumberFormat="1" applyBorder="1"/>
    <xf numFmtId="0" fontId="0" fillId="0" borderId="11" xfId="0" applyBorder="1"/>
    <xf numFmtId="165" fontId="0" fillId="0" borderId="13" xfId="0" applyNumberFormat="1" applyBorder="1"/>
    <xf numFmtId="173" fontId="5" fillId="0" borderId="0" xfId="0" applyNumberFormat="1" applyFont="1" applyAlignment="1">
      <alignment horizontal="center"/>
    </xf>
    <xf numFmtId="0" fontId="4" fillId="0" borderId="6" xfId="0" applyFont="1" applyBorder="1"/>
    <xf numFmtId="0" fontId="1" fillId="0" borderId="6" xfId="0" applyFont="1" applyBorder="1"/>
    <xf numFmtId="165" fontId="1" fillId="0" borderId="10" xfId="0" applyNumberFormat="1" applyFont="1" applyBorder="1"/>
    <xf numFmtId="6" fontId="1" fillId="0" borderId="10" xfId="0" applyNumberFormat="1" applyFont="1" applyBorder="1"/>
    <xf numFmtId="0" fontId="19" fillId="9" borderId="0" xfId="0" applyFont="1" applyFill="1"/>
    <xf numFmtId="2" fontId="4" fillId="8" borderId="17" xfId="0" applyNumberFormat="1" applyFont="1" applyFill="1" applyBorder="1" applyAlignment="1">
      <alignment horizontal="left"/>
    </xf>
    <xf numFmtId="0" fontId="4" fillId="8" borderId="17" xfId="0" applyFont="1" applyFill="1" applyBorder="1" applyAlignment="1">
      <alignment horizontal="left"/>
    </xf>
    <xf numFmtId="2" fontId="4" fillId="8" borderId="17" xfId="0" applyNumberFormat="1" applyFont="1" applyFill="1" applyBorder="1" applyAlignment="1">
      <alignment horizontal="center"/>
    </xf>
    <xf numFmtId="0" fontId="4" fillId="8" borderId="17" xfId="0" applyFont="1" applyFill="1" applyBorder="1" applyAlignment="1">
      <alignment horizontal="center"/>
    </xf>
    <xf numFmtId="2" fontId="22" fillId="8" borderId="18" xfId="0" applyNumberFormat="1" applyFont="1" applyFill="1" applyBorder="1" applyAlignment="1">
      <alignment vertical="center"/>
    </xf>
    <xf numFmtId="2" fontId="4" fillId="8" borderId="18" xfId="0" applyNumberFormat="1" applyFont="1" applyFill="1" applyBorder="1" applyAlignment="1">
      <alignment vertical="center"/>
    </xf>
    <xf numFmtId="2" fontId="4" fillId="8" borderId="0" xfId="0" applyNumberFormat="1" applyFont="1" applyFill="1" applyAlignment="1">
      <alignment horizontal="left"/>
    </xf>
    <xf numFmtId="0" fontId="19" fillId="9" borderId="0" xfId="0" applyFont="1" applyFill="1" applyAlignment="1">
      <alignment horizontal="left" vertical="center"/>
    </xf>
    <xf numFmtId="2" fontId="19" fillId="9" borderId="0" xfId="0" applyNumberFormat="1" applyFont="1" applyFill="1" applyAlignment="1">
      <alignment horizontal="center" vertical="center"/>
    </xf>
    <xf numFmtId="0" fontId="19" fillId="9" borderId="0" xfId="0" applyFont="1" applyFill="1" applyAlignment="1">
      <alignment horizontal="center" vertical="center"/>
    </xf>
    <xf numFmtId="0" fontId="19" fillId="9" borderId="0" xfId="0" applyFont="1" applyFill="1" applyAlignment="1">
      <alignment horizontal="right" vertical="center"/>
    </xf>
    <xf numFmtId="2" fontId="0" fillId="11" borderId="0" xfId="0" applyNumberFormat="1" applyFill="1" applyAlignment="1">
      <alignment horizontal="center"/>
    </xf>
    <xf numFmtId="0" fontId="4" fillId="11" borderId="0" xfId="0" applyFont="1" applyFill="1" applyAlignment="1">
      <alignment horizontal="center"/>
    </xf>
    <xf numFmtId="2" fontId="4" fillId="11" borderId="0" xfId="0" applyNumberFormat="1" applyFont="1" applyFill="1" applyAlignment="1">
      <alignment horizontal="center"/>
    </xf>
    <xf numFmtId="0" fontId="0" fillId="11" borderId="0" xfId="0" applyFill="1" applyAlignment="1">
      <alignment horizontal="center"/>
    </xf>
    <xf numFmtId="0" fontId="4" fillId="8" borderId="3" xfId="0" applyFont="1" applyFill="1" applyBorder="1" applyAlignment="1">
      <alignment horizontal="left" vertical="center"/>
    </xf>
    <xf numFmtId="0" fontId="4" fillId="8" borderId="5" xfId="0" applyFont="1" applyFill="1" applyBorder="1" applyAlignment="1">
      <alignment horizontal="left" vertical="center"/>
    </xf>
    <xf numFmtId="0" fontId="4" fillId="8" borderId="8" xfId="0" applyFont="1" applyFill="1" applyBorder="1" applyAlignment="1">
      <alignment horizontal="left"/>
    </xf>
    <xf numFmtId="0" fontId="4" fillId="8" borderId="13" xfId="0" applyFont="1" applyFill="1" applyBorder="1"/>
    <xf numFmtId="0" fontId="4" fillId="8" borderId="19" xfId="0" applyFont="1" applyFill="1" applyBorder="1" applyAlignment="1">
      <alignment horizontal="left"/>
    </xf>
    <xf numFmtId="2" fontId="4" fillId="8" borderId="19" xfId="0" applyNumberFormat="1" applyFont="1" applyFill="1" applyBorder="1" applyAlignment="1">
      <alignment horizontal="center"/>
    </xf>
    <xf numFmtId="170" fontId="0" fillId="0" borderId="0" xfId="0" applyNumberFormat="1" applyAlignment="1">
      <alignment horizontal="center"/>
    </xf>
    <xf numFmtId="170" fontId="4" fillId="0" borderId="0" xfId="0" applyNumberFormat="1" applyFont="1" applyAlignment="1">
      <alignment horizontal="center"/>
    </xf>
    <xf numFmtId="2" fontId="22" fillId="8" borderId="0" xfId="0" applyNumberFormat="1" applyFont="1" applyFill="1" applyAlignment="1">
      <alignment horizontal="center"/>
    </xf>
    <xf numFmtId="2" fontId="4" fillId="8" borderId="19" xfId="0" applyNumberFormat="1" applyFont="1" applyFill="1" applyBorder="1" applyAlignment="1">
      <alignment horizontal="left"/>
    </xf>
    <xf numFmtId="2" fontId="23" fillId="8" borderId="0" xfId="0" applyNumberFormat="1" applyFont="1" applyFill="1" applyAlignment="1">
      <alignment horizontal="left"/>
    </xf>
    <xf numFmtId="1" fontId="5" fillId="0" borderId="0" xfId="0" applyNumberFormat="1" applyFont="1" applyAlignment="1">
      <alignment horizontal="center"/>
    </xf>
    <xf numFmtId="0" fontId="18" fillId="9" borderId="14" xfId="0" applyFont="1" applyFill="1" applyBorder="1" applyAlignment="1">
      <alignment vertical="center"/>
    </xf>
    <xf numFmtId="0" fontId="0" fillId="0" borderId="0" xfId="0" applyAlignment="1">
      <alignment horizontal="left" vertical="center"/>
    </xf>
    <xf numFmtId="0" fontId="25" fillId="8" borderId="14" xfId="0" applyFont="1" applyFill="1" applyBorder="1" applyAlignment="1">
      <alignment vertical="center"/>
    </xf>
    <xf numFmtId="0" fontId="26" fillId="8" borderId="14" xfId="0" applyFont="1" applyFill="1" applyBorder="1" applyAlignment="1">
      <alignment horizontal="center" vertical="center"/>
    </xf>
    <xf numFmtId="1" fontId="25" fillId="8" borderId="14" xfId="0" applyNumberFormat="1" applyFont="1" applyFill="1" applyBorder="1" applyAlignment="1">
      <alignment horizontal="center" vertical="center"/>
    </xf>
    <xf numFmtId="0" fontId="26" fillId="8" borderId="14" xfId="0" applyFont="1" applyFill="1" applyBorder="1" applyAlignment="1">
      <alignment vertical="center" shrinkToFit="1"/>
    </xf>
    <xf numFmtId="0" fontId="0" fillId="8" borderId="0" xfId="0" applyFill="1" applyAlignment="1">
      <alignment vertical="center"/>
    </xf>
    <xf numFmtId="0" fontId="4" fillId="8" borderId="0" xfId="0" applyFont="1" applyFill="1" applyAlignment="1">
      <alignment horizontal="right" vertical="center"/>
    </xf>
    <xf numFmtId="0" fontId="19" fillId="8" borderId="0" xfId="0" applyFont="1" applyFill="1" applyAlignment="1">
      <alignment horizontal="left"/>
    </xf>
    <xf numFmtId="169" fontId="0" fillId="8" borderId="0" xfId="0" applyNumberFormat="1" applyFill="1" applyAlignment="1">
      <alignment horizontal="left"/>
    </xf>
    <xf numFmtId="170" fontId="0" fillId="0" borderId="20" xfId="0" applyNumberFormat="1" applyBorder="1" applyAlignment="1">
      <alignment horizontal="center"/>
    </xf>
    <xf numFmtId="0" fontId="0" fillId="12" borderId="0" xfId="0" applyFill="1"/>
    <xf numFmtId="0" fontId="0" fillId="12" borderId="0" xfId="0" applyFill="1" applyAlignment="1">
      <alignment horizontal="center"/>
    </xf>
    <xf numFmtId="0" fontId="0" fillId="13" borderId="0" xfId="0" applyFill="1"/>
    <xf numFmtId="0" fontId="0" fillId="13" borderId="0" xfId="0" applyFill="1" applyAlignment="1">
      <alignment horizontal="center"/>
    </xf>
    <xf numFmtId="0" fontId="0" fillId="8" borderId="14" xfId="0" applyFill="1" applyBorder="1" applyAlignment="1">
      <alignment horizontal="center"/>
    </xf>
    <xf numFmtId="2" fontId="0" fillId="8" borderId="0" xfId="0" applyNumberFormat="1" applyFill="1" applyAlignment="1">
      <alignment horizontal="center"/>
    </xf>
    <xf numFmtId="2" fontId="0" fillId="8" borderId="14" xfId="0" applyNumberFormat="1" applyFill="1" applyBorder="1" applyAlignment="1">
      <alignment horizontal="center"/>
    </xf>
    <xf numFmtId="49" fontId="4" fillId="8" borderId="14" xfId="0" applyNumberFormat="1" applyFont="1" applyFill="1" applyBorder="1" applyAlignment="1">
      <alignment horizontal="center"/>
    </xf>
    <xf numFmtId="0" fontId="0" fillId="5" borderId="3" xfId="0" applyFill="1" applyBorder="1" applyAlignment="1">
      <alignment horizontal="center"/>
    </xf>
    <xf numFmtId="0" fontId="4" fillId="5" borderId="5" xfId="0" applyFont="1" applyFill="1" applyBorder="1" applyAlignment="1">
      <alignment horizontal="center"/>
    </xf>
    <xf numFmtId="0" fontId="0" fillId="5" borderId="5" xfId="0" applyFill="1" applyBorder="1" applyAlignment="1">
      <alignment horizontal="center"/>
    </xf>
    <xf numFmtId="0" fontId="27" fillId="5" borderId="14" xfId="0" applyFont="1" applyFill="1" applyBorder="1" applyAlignment="1">
      <alignment horizontal="center"/>
    </xf>
    <xf numFmtId="0" fontId="0" fillId="5" borderId="14" xfId="0" applyFill="1" applyBorder="1" applyAlignment="1">
      <alignment horizontal="center"/>
    </xf>
    <xf numFmtId="0" fontId="1" fillId="8" borderId="0" xfId="0" applyFont="1" applyFill="1" applyAlignment="1">
      <alignment horizontal="center"/>
    </xf>
    <xf numFmtId="2" fontId="1" fillId="8" borderId="0" xfId="0" applyNumberFormat="1" applyFont="1" applyFill="1" applyAlignment="1">
      <alignment horizontal="center"/>
    </xf>
    <xf numFmtId="0" fontId="28" fillId="5" borderId="14" xfId="0" applyFont="1" applyFill="1" applyBorder="1" applyAlignment="1">
      <alignment horizontal="center"/>
    </xf>
    <xf numFmtId="1" fontId="0" fillId="3" borderId="0" xfId="0" applyNumberFormat="1" applyFill="1" applyAlignment="1">
      <alignment horizontal="left"/>
    </xf>
    <xf numFmtId="0" fontId="29" fillId="9" borderId="9" xfId="0" applyFont="1" applyFill="1" applyBorder="1"/>
    <xf numFmtId="165" fontId="30" fillId="9" borderId="10" xfId="0" applyNumberFormat="1" applyFont="1" applyFill="1" applyBorder="1"/>
    <xf numFmtId="6" fontId="10" fillId="0" borderId="10" xfId="0" applyNumberFormat="1" applyFont="1" applyBorder="1"/>
    <xf numFmtId="0" fontId="30" fillId="9" borderId="6" xfId="0" applyFont="1" applyFill="1" applyBorder="1"/>
    <xf numFmtId="1" fontId="4" fillId="3" borderId="0" xfId="0" applyNumberFormat="1" applyFont="1" applyFill="1" applyAlignment="1">
      <alignment horizontal="left" wrapText="1"/>
    </xf>
    <xf numFmtId="1" fontId="4" fillId="3" borderId="0" xfId="0" applyNumberFormat="1" applyFont="1" applyFill="1" applyAlignment="1">
      <alignment horizontal="left"/>
    </xf>
    <xf numFmtId="1" fontId="0" fillId="0" borderId="0" xfId="0" applyNumberFormat="1" applyAlignment="1">
      <alignment horizontal="left"/>
    </xf>
    <xf numFmtId="175" fontId="4" fillId="0" borderId="0" xfId="0" applyNumberFormat="1" applyFont="1" applyAlignment="1">
      <alignment horizontal="center"/>
    </xf>
    <xf numFmtId="175" fontId="0" fillId="0" borderId="0" xfId="0" applyNumberFormat="1" applyAlignment="1">
      <alignment horizontal="center"/>
    </xf>
    <xf numFmtId="175" fontId="0" fillId="0" borderId="0" xfId="0" applyNumberFormat="1"/>
    <xf numFmtId="175" fontId="4" fillId="0" borderId="0" xfId="0" applyNumberFormat="1" applyFont="1"/>
    <xf numFmtId="175" fontId="4" fillId="5" borderId="0" xfId="0" quotePrefix="1" applyNumberFormat="1" applyFont="1" applyFill="1" applyAlignment="1">
      <alignment horizontal="center"/>
    </xf>
    <xf numFmtId="175" fontId="0" fillId="5" borderId="0" xfId="0" applyNumberFormat="1" applyFill="1" applyAlignment="1">
      <alignment horizontal="center"/>
    </xf>
    <xf numFmtId="175" fontId="0" fillId="12" borderId="0" xfId="0" applyNumberFormat="1" applyFill="1" applyAlignment="1">
      <alignment horizontal="center"/>
    </xf>
    <xf numFmtId="175" fontId="0" fillId="13" borderId="0" xfId="0" applyNumberFormat="1" applyFill="1" applyAlignment="1">
      <alignment horizontal="center"/>
    </xf>
    <xf numFmtId="0" fontId="23" fillId="0" borderId="6" xfId="0" applyFont="1" applyBorder="1"/>
    <xf numFmtId="165" fontId="23" fillId="0" borderId="10" xfId="0" applyNumberFormat="1" applyFont="1" applyBorder="1"/>
    <xf numFmtId="2" fontId="0" fillId="13" borderId="0" xfId="0" applyNumberFormat="1" applyFill="1" applyAlignment="1">
      <alignment horizontal="center"/>
    </xf>
    <xf numFmtId="0" fontId="0" fillId="4" borderId="0" xfId="0" applyFill="1" applyAlignment="1">
      <alignment horizontal="center"/>
    </xf>
    <xf numFmtId="2" fontId="0" fillId="4" borderId="0" xfId="0" applyNumberFormat="1" applyFill="1" applyAlignment="1">
      <alignment horizontal="center"/>
    </xf>
    <xf numFmtId="0" fontId="0" fillId="4" borderId="20" xfId="0" applyFill="1" applyBorder="1" applyAlignment="1">
      <alignment horizontal="center"/>
    </xf>
    <xf numFmtId="2" fontId="0" fillId="4" borderId="20" xfId="0" applyNumberFormat="1" applyFill="1" applyBorder="1" applyAlignment="1">
      <alignment horizontal="center"/>
    </xf>
    <xf numFmtId="12" fontId="0" fillId="4" borderId="0" xfId="0" applyNumberFormat="1" applyFill="1" applyAlignment="1">
      <alignment horizontal="center"/>
    </xf>
    <xf numFmtId="2" fontId="4" fillId="13" borderId="0" xfId="0" applyNumberFormat="1" applyFont="1" applyFill="1" applyAlignment="1">
      <alignment horizontal="center"/>
    </xf>
    <xf numFmtId="0" fontId="31" fillId="0" borderId="0" xfId="0" applyFont="1" applyAlignment="1">
      <alignment horizontal="center"/>
    </xf>
    <xf numFmtId="2" fontId="31" fillId="8" borderId="0" xfId="0" applyNumberFormat="1" applyFont="1" applyFill="1" applyAlignment="1">
      <alignment horizontal="center"/>
    </xf>
    <xf numFmtId="2" fontId="31" fillId="0" borderId="0" xfId="0" applyNumberFormat="1" applyFont="1" applyAlignment="1">
      <alignment horizontal="center"/>
    </xf>
    <xf numFmtId="170" fontId="0" fillId="0" borderId="0" xfId="0" applyNumberFormat="1"/>
    <xf numFmtId="0" fontId="19" fillId="9" borderId="43" xfId="0" applyFont="1" applyFill="1" applyBorder="1" applyAlignment="1">
      <alignment horizontal="left" vertical="center"/>
    </xf>
    <xf numFmtId="0" fontId="4" fillId="8" borderId="7" xfId="0" applyFont="1" applyFill="1" applyBorder="1" applyAlignment="1">
      <alignment vertical="center"/>
    </xf>
    <xf numFmtId="0" fontId="4" fillId="7" borderId="7" xfId="0" applyFont="1" applyFill="1" applyBorder="1" applyAlignment="1">
      <alignment vertical="center"/>
    </xf>
    <xf numFmtId="0" fontId="4" fillId="7" borderId="8" xfId="0" applyFont="1" applyFill="1" applyBorder="1" applyAlignment="1">
      <alignment vertical="center"/>
    </xf>
    <xf numFmtId="0" fontId="4" fillId="7" borderId="9" xfId="0" applyFont="1" applyFill="1" applyBorder="1" applyAlignment="1">
      <alignment horizontal="center" vertical="center"/>
    </xf>
    <xf numFmtId="0" fontId="4" fillId="0" borderId="0" xfId="0" applyFont="1" applyAlignment="1">
      <alignment horizontal="center" vertical="center"/>
    </xf>
    <xf numFmtId="1" fontId="32" fillId="8" borderId="0" xfId="0" applyNumberFormat="1" applyFont="1" applyFill="1" applyAlignment="1">
      <alignment horizontal="center" vertical="center"/>
    </xf>
    <xf numFmtId="2" fontId="0" fillId="0" borderId="0" xfId="0" applyNumberFormat="1" applyAlignment="1">
      <alignment horizontal="center" vertical="center"/>
    </xf>
    <xf numFmtId="0" fontId="0" fillId="0" borderId="0" xfId="0" applyAlignment="1">
      <alignment horizontal="center" vertical="center"/>
    </xf>
    <xf numFmtId="49" fontId="0" fillId="0" borderId="0" xfId="0" applyNumberFormat="1" applyAlignment="1">
      <alignment horizontal="center" vertical="center"/>
    </xf>
    <xf numFmtId="0" fontId="31" fillId="8" borderId="0" xfId="0" applyFont="1" applyFill="1" applyAlignment="1">
      <alignment horizontal="center" vertical="center"/>
    </xf>
    <xf numFmtId="2" fontId="4" fillId="13" borderId="0" xfId="0" applyNumberFormat="1" applyFont="1" applyFill="1" applyAlignment="1">
      <alignment horizontal="center" vertical="center"/>
    </xf>
    <xf numFmtId="0" fontId="0" fillId="13" borderId="0" xfId="0" applyFill="1" applyAlignment="1">
      <alignment horizontal="center" vertical="center"/>
    </xf>
    <xf numFmtId="2" fontId="0" fillId="13" borderId="0" xfId="0" applyNumberFormat="1" applyFill="1" applyAlignment="1">
      <alignment horizontal="center" vertical="center"/>
    </xf>
    <xf numFmtId="0" fontId="4" fillId="4" borderId="0" xfId="0" applyFont="1" applyFill="1" applyAlignment="1">
      <alignment horizontal="center" vertical="center"/>
    </xf>
    <xf numFmtId="0" fontId="4" fillId="13" borderId="0" xfId="0" applyFont="1" applyFill="1" applyAlignment="1">
      <alignment horizontal="center" vertical="center"/>
    </xf>
    <xf numFmtId="0" fontId="0" fillId="0" borderId="0" xfId="0" applyAlignment="1">
      <alignment vertical="center"/>
    </xf>
    <xf numFmtId="0" fontId="4" fillId="0" borderId="8" xfId="0" applyFont="1" applyBorder="1"/>
    <xf numFmtId="0" fontId="33" fillId="8" borderId="0" xfId="0" applyFont="1" applyFill="1" applyAlignment="1">
      <alignment vertical="center" wrapText="1"/>
    </xf>
    <xf numFmtId="0" fontId="14" fillId="8" borderId="0" xfId="0" applyFont="1" applyFill="1" applyAlignment="1">
      <alignment wrapText="1"/>
    </xf>
    <xf numFmtId="0" fontId="14" fillId="8" borderId="0" xfId="0" applyFont="1" applyFill="1" applyAlignment="1">
      <alignment vertical="center" wrapText="1"/>
    </xf>
    <xf numFmtId="0" fontId="34" fillId="8" borderId="0" xfId="0" applyFont="1" applyFill="1" applyAlignment="1">
      <alignment vertical="center" wrapText="1"/>
    </xf>
    <xf numFmtId="0" fontId="35" fillId="8" borderId="0" xfId="0" applyFont="1" applyFill="1" applyAlignment="1">
      <alignment vertical="center" wrapText="1"/>
    </xf>
    <xf numFmtId="0" fontId="36" fillId="8" borderId="0" xfId="0" applyFont="1" applyFill="1" applyAlignment="1">
      <alignment vertical="center" wrapText="1"/>
    </xf>
    <xf numFmtId="0" fontId="37" fillId="8" borderId="0" xfId="0" applyFont="1" applyFill="1" applyAlignment="1">
      <alignment vertical="center" wrapText="1"/>
    </xf>
    <xf numFmtId="0" fontId="34" fillId="8" borderId="14" xfId="0" applyFont="1" applyFill="1" applyBorder="1" applyAlignment="1">
      <alignment vertical="center" wrapText="1"/>
    </xf>
    <xf numFmtId="0" fontId="33" fillId="8" borderId="14" xfId="0" applyFont="1" applyFill="1" applyBorder="1" applyAlignment="1">
      <alignment vertical="center" wrapText="1"/>
    </xf>
    <xf numFmtId="0" fontId="0" fillId="0" borderId="14" xfId="0" applyBorder="1"/>
    <xf numFmtId="0" fontId="18" fillId="9" borderId="16" xfId="0" applyFont="1" applyFill="1" applyBorder="1" applyAlignment="1">
      <alignment horizontal="center" vertical="center" shrinkToFit="1"/>
    </xf>
    <xf numFmtId="0" fontId="18" fillId="9" borderId="14" xfId="0" applyFont="1" applyFill="1" applyBorder="1" applyAlignment="1">
      <alignment horizontal="center" vertical="center"/>
    </xf>
    <xf numFmtId="8" fontId="25" fillId="0" borderId="14" xfId="0" applyNumberFormat="1" applyFont="1" applyBorder="1" applyAlignment="1">
      <alignment horizontal="left" vertical="center"/>
    </xf>
    <xf numFmtId="170" fontId="0" fillId="8" borderId="0" xfId="0" applyNumberFormat="1" applyFill="1" applyAlignment="1">
      <alignment horizontal="center"/>
    </xf>
    <xf numFmtId="164" fontId="0" fillId="0" borderId="0" xfId="0" applyNumberFormat="1"/>
    <xf numFmtId="0" fontId="18" fillId="9" borderId="15" xfId="0" applyFont="1" applyFill="1" applyBorder="1" applyAlignment="1">
      <alignment horizontal="left" wrapText="1"/>
    </xf>
    <xf numFmtId="49" fontId="38" fillId="10" borderId="14" xfId="0" applyNumberFormat="1" applyFont="1" applyFill="1" applyBorder="1" applyAlignment="1">
      <alignment horizontal="left"/>
    </xf>
    <xf numFmtId="49" fontId="5" fillId="0" borderId="0" xfId="0" applyNumberFormat="1" applyFont="1" applyAlignment="1">
      <alignment horizontal="left"/>
    </xf>
    <xf numFmtId="8" fontId="5" fillId="14" borderId="14" xfId="0" applyNumberFormat="1" applyFont="1" applyFill="1" applyBorder="1" applyAlignment="1">
      <alignment horizontal="right"/>
    </xf>
    <xf numFmtId="164" fontId="5" fillId="14" borderId="14" xfId="0" applyNumberFormat="1" applyFont="1" applyFill="1" applyBorder="1" applyAlignment="1">
      <alignment horizontal="right"/>
    </xf>
    <xf numFmtId="171" fontId="5" fillId="15" borderId="14" xfId="0" applyNumberFormat="1" applyFont="1" applyFill="1" applyBorder="1" applyAlignment="1">
      <alignment horizontal="right"/>
    </xf>
    <xf numFmtId="0" fontId="5" fillId="15" borderId="14" xfId="0" applyFont="1" applyFill="1" applyBorder="1" applyAlignment="1">
      <alignment horizontal="right"/>
    </xf>
    <xf numFmtId="8" fontId="5" fillId="15" borderId="14" xfId="0" applyNumberFormat="1" applyFont="1" applyFill="1" applyBorder="1" applyAlignment="1">
      <alignment horizontal="right"/>
    </xf>
    <xf numFmtId="170" fontId="5" fillId="16" borderId="14" xfId="0" applyNumberFormat="1" applyFont="1" applyFill="1" applyBorder="1" applyAlignment="1">
      <alignment horizontal="right"/>
    </xf>
    <xf numFmtId="0" fontId="5" fillId="16" borderId="14" xfId="0" applyFont="1" applyFill="1" applyBorder="1" applyAlignment="1">
      <alignment horizontal="right"/>
    </xf>
    <xf numFmtId="8" fontId="5" fillId="16" borderId="14" xfId="0" applyNumberFormat="1" applyFont="1" applyFill="1" applyBorder="1" applyAlignment="1">
      <alignment horizontal="right"/>
    </xf>
    <xf numFmtId="172" fontId="5" fillId="15" borderId="14" xfId="0" applyNumberFormat="1" applyFont="1" applyFill="1" applyBorder="1" applyAlignment="1">
      <alignment horizontal="right"/>
    </xf>
    <xf numFmtId="173" fontId="5" fillId="16" borderId="14" xfId="0" applyNumberFormat="1" applyFont="1" applyFill="1" applyBorder="1" applyAlignment="1">
      <alignment horizontal="right"/>
    </xf>
    <xf numFmtId="170" fontId="5" fillId="8" borderId="14" xfId="0" applyNumberFormat="1" applyFont="1" applyFill="1" applyBorder="1" applyAlignment="1">
      <alignment horizontal="right"/>
    </xf>
    <xf numFmtId="170" fontId="5" fillId="0" borderId="0" xfId="0" applyNumberFormat="1" applyFont="1" applyAlignment="1">
      <alignment horizontal="right"/>
    </xf>
    <xf numFmtId="1" fontId="5" fillId="17" borderId="14" xfId="0" applyNumberFormat="1" applyFont="1" applyFill="1" applyBorder="1" applyAlignment="1">
      <alignment horizontal="right"/>
    </xf>
    <xf numFmtId="0" fontId="5" fillId="0" borderId="0" xfId="0" applyFont="1" applyAlignment="1">
      <alignment horizontal="right"/>
    </xf>
    <xf numFmtId="0" fontId="0" fillId="0" borderId="15" xfId="0" applyBorder="1" applyAlignment="1">
      <alignment horizontal="center"/>
    </xf>
    <xf numFmtId="0" fontId="0" fillId="0" borderId="20" xfId="0" applyBorder="1" applyAlignment="1">
      <alignment horizontal="center"/>
    </xf>
    <xf numFmtId="0" fontId="0" fillId="0" borderId="20" xfId="0" applyBorder="1" applyAlignment="1">
      <alignment horizontal="left"/>
    </xf>
    <xf numFmtId="0" fontId="0" fillId="18" borderId="52" xfId="0" applyFill="1" applyBorder="1" applyAlignment="1">
      <alignment horizontal="center"/>
    </xf>
    <xf numFmtId="0" fontId="4" fillId="18" borderId="52" xfId="0" applyFont="1" applyFill="1" applyBorder="1" applyAlignment="1">
      <alignment horizontal="center"/>
    </xf>
    <xf numFmtId="0" fontId="0" fillId="19" borderId="52" xfId="0" applyFill="1" applyBorder="1" applyAlignment="1">
      <alignment horizontal="center"/>
    </xf>
    <xf numFmtId="0" fontId="4" fillId="19" borderId="52" xfId="0" applyFont="1" applyFill="1" applyBorder="1" applyAlignment="1">
      <alignment horizontal="center"/>
    </xf>
    <xf numFmtId="0" fontId="0" fillId="19" borderId="2" xfId="0" applyFill="1" applyBorder="1" applyAlignment="1">
      <alignment horizontal="center"/>
    </xf>
    <xf numFmtId="170" fontId="0" fillId="0" borderId="50" xfId="0" applyNumberFormat="1" applyBorder="1" applyAlignment="1">
      <alignment horizontal="center"/>
    </xf>
    <xf numFmtId="170" fontId="4" fillId="0" borderId="50" xfId="0" applyNumberFormat="1" applyFont="1" applyBorder="1" applyAlignment="1">
      <alignment horizontal="center"/>
    </xf>
    <xf numFmtId="170" fontId="0" fillId="0" borderId="53" xfId="0" applyNumberFormat="1" applyBorder="1" applyAlignment="1">
      <alignment horizontal="center"/>
    </xf>
    <xf numFmtId="0" fontId="18" fillId="9" borderId="18" xfId="0" applyFont="1" applyFill="1" applyBorder="1" applyAlignment="1">
      <alignment horizontal="center" wrapText="1"/>
    </xf>
    <xf numFmtId="40" fontId="18" fillId="9" borderId="15" xfId="0" applyNumberFormat="1" applyFont="1" applyFill="1" applyBorder="1" applyAlignment="1">
      <alignment horizontal="right" wrapText="1"/>
    </xf>
    <xf numFmtId="8" fontId="0" fillId="0" borderId="0" xfId="0" applyNumberFormat="1" applyAlignment="1">
      <alignment horizontal="right"/>
    </xf>
    <xf numFmtId="2" fontId="4" fillId="0" borderId="0" xfId="0" applyNumberFormat="1" applyFont="1" applyAlignment="1">
      <alignment horizontal="right"/>
    </xf>
    <xf numFmtId="8" fontId="4" fillId="0" borderId="15" xfId="0" applyNumberFormat="1" applyFont="1" applyBorder="1" applyAlignment="1">
      <alignment horizontal="right"/>
    </xf>
    <xf numFmtId="8" fontId="0" fillId="0" borderId="20" xfId="0" applyNumberFormat="1" applyBorder="1" applyAlignment="1">
      <alignment horizontal="right"/>
    </xf>
    <xf numFmtId="8" fontId="4" fillId="0" borderId="20" xfId="0" applyNumberFormat="1" applyFont="1" applyBorder="1" applyAlignment="1">
      <alignment horizontal="right"/>
    </xf>
    <xf numFmtId="0" fontId="0" fillId="8" borderId="52" xfId="0" applyFill="1" applyBorder="1" applyAlignment="1">
      <alignment horizontal="center"/>
    </xf>
    <xf numFmtId="0" fontId="4" fillId="8" borderId="52" xfId="0" applyFont="1" applyFill="1" applyBorder="1" applyAlignment="1">
      <alignment horizontal="center"/>
    </xf>
    <xf numFmtId="0" fontId="0" fillId="8" borderId="2" xfId="0" applyFill="1" applyBorder="1" applyAlignment="1">
      <alignment horizontal="center"/>
    </xf>
    <xf numFmtId="0" fontId="4" fillId="20" borderId="52" xfId="0" applyFont="1" applyFill="1" applyBorder="1" applyAlignment="1">
      <alignment horizontal="center"/>
    </xf>
    <xf numFmtId="0" fontId="0" fillId="8" borderId="14" xfId="0" applyFill="1" applyBorder="1"/>
    <xf numFmtId="0" fontId="0" fillId="18" borderId="14" xfId="0" applyFill="1" applyBorder="1"/>
    <xf numFmtId="0" fontId="0" fillId="19" borderId="14" xfId="0" applyFill="1" applyBorder="1"/>
    <xf numFmtId="0" fontId="0" fillId="21" borderId="14" xfId="0" applyFill="1" applyBorder="1"/>
    <xf numFmtId="0" fontId="0" fillId="20" borderId="14" xfId="0" applyFill="1" applyBorder="1"/>
    <xf numFmtId="0" fontId="0" fillId="22" borderId="14" xfId="0" applyFill="1" applyBorder="1"/>
    <xf numFmtId="0" fontId="0" fillId="8" borderId="13" xfId="0" applyFill="1" applyBorder="1"/>
    <xf numFmtId="170" fontId="18" fillId="9" borderId="56" xfId="0" applyNumberFormat="1" applyFont="1" applyFill="1" applyBorder="1" applyAlignment="1">
      <alignment horizontal="center" wrapText="1"/>
    </xf>
    <xf numFmtId="170" fontId="18" fillId="9" borderId="15" xfId="0" applyNumberFormat="1" applyFont="1" applyFill="1" applyBorder="1" applyAlignment="1">
      <alignment horizontal="center" wrapText="1"/>
    </xf>
    <xf numFmtId="1" fontId="18" fillId="9" borderId="15" xfId="0" applyNumberFormat="1" applyFont="1" applyFill="1" applyBorder="1" applyAlignment="1">
      <alignment horizontal="center" wrapText="1"/>
    </xf>
    <xf numFmtId="1" fontId="0" fillId="0" borderId="0" xfId="0" applyNumberFormat="1" applyAlignment="1">
      <alignment horizontal="center"/>
    </xf>
    <xf numFmtId="1" fontId="4" fillId="0" borderId="0" xfId="0" applyNumberFormat="1" applyFont="1" applyAlignment="1">
      <alignment horizontal="center"/>
    </xf>
    <xf numFmtId="1" fontId="0" fillId="0" borderId="20" xfId="0" applyNumberFormat="1" applyBorder="1" applyAlignment="1">
      <alignment horizontal="center"/>
    </xf>
    <xf numFmtId="1" fontId="0" fillId="0" borderId="0" xfId="0" applyNumberFormat="1"/>
    <xf numFmtId="1" fontId="18" fillId="9" borderId="54" xfId="0" applyNumberFormat="1" applyFont="1" applyFill="1" applyBorder="1" applyAlignment="1">
      <alignment horizontal="center" wrapText="1"/>
    </xf>
    <xf numFmtId="1" fontId="0" fillId="0" borderId="31" xfId="0" applyNumberFormat="1" applyBorder="1" applyAlignment="1">
      <alignment horizontal="center"/>
    </xf>
    <xf numFmtId="1" fontId="4" fillId="0" borderId="31" xfId="0" applyNumberFormat="1" applyFont="1" applyBorder="1" applyAlignment="1">
      <alignment horizontal="center"/>
    </xf>
    <xf numFmtId="1" fontId="0" fillId="0" borderId="55" xfId="0" applyNumberFormat="1" applyBorder="1" applyAlignment="1">
      <alignment horizontal="center"/>
    </xf>
    <xf numFmtId="0" fontId="18" fillId="9" borderId="14" xfId="0" applyFont="1" applyFill="1" applyBorder="1" applyAlignment="1">
      <alignment horizontal="right" vertical="center" wrapText="1"/>
    </xf>
    <xf numFmtId="0" fontId="18" fillId="9" borderId="14" xfId="0" applyFont="1" applyFill="1" applyBorder="1" applyAlignment="1">
      <alignment horizontal="center" vertical="center" wrapText="1"/>
    </xf>
    <xf numFmtId="0" fontId="38" fillId="10" borderId="14" xfId="0" applyFont="1" applyFill="1" applyBorder="1" applyAlignment="1">
      <alignment horizontal="left"/>
    </xf>
    <xf numFmtId="0" fontId="5" fillId="0" borderId="0" xfId="0" applyFont="1" applyAlignment="1">
      <alignment horizontal="left"/>
    </xf>
    <xf numFmtId="0" fontId="0" fillId="0" borderId="15" xfId="0" applyBorder="1" applyAlignment="1">
      <alignment horizontal="left"/>
    </xf>
    <xf numFmtId="8" fontId="0" fillId="0" borderId="15" xfId="0" applyNumberFormat="1" applyBorder="1" applyAlignment="1">
      <alignment horizontal="right"/>
    </xf>
    <xf numFmtId="8" fontId="25" fillId="0" borderId="67" xfId="0" applyNumberFormat="1" applyFont="1" applyBorder="1" applyAlignment="1">
      <alignment horizontal="left" vertical="center"/>
    </xf>
    <xf numFmtId="0" fontId="24" fillId="8" borderId="16" xfId="0" applyFont="1" applyFill="1" applyBorder="1" applyAlignment="1">
      <alignment horizontal="right" vertical="center" wrapText="1" shrinkToFit="1"/>
    </xf>
    <xf numFmtId="0" fontId="24" fillId="8" borderId="14" xfId="0" applyFont="1" applyFill="1" applyBorder="1" applyAlignment="1">
      <alignment horizontal="center" vertical="center" wrapText="1" shrinkToFit="1"/>
    </xf>
    <xf numFmtId="170" fontId="26" fillId="8" borderId="14" xfId="0" applyNumberFormat="1" applyFont="1" applyFill="1" applyBorder="1" applyAlignment="1">
      <alignment horizontal="right" vertical="center"/>
    </xf>
    <xf numFmtId="170" fontId="26" fillId="8" borderId="5" xfId="0" applyNumberFormat="1" applyFont="1" applyFill="1" applyBorder="1" applyAlignment="1">
      <alignment horizontal="right" vertical="center"/>
    </xf>
    <xf numFmtId="1" fontId="25" fillId="8" borderId="5" xfId="0" applyNumberFormat="1" applyFont="1" applyFill="1" applyBorder="1" applyAlignment="1">
      <alignment horizontal="center" vertical="center"/>
    </xf>
    <xf numFmtId="0" fontId="26" fillId="8" borderId="5" xfId="0" applyFont="1" applyFill="1" applyBorder="1" applyAlignment="1">
      <alignment vertical="center" shrinkToFit="1"/>
    </xf>
    <xf numFmtId="170" fontId="26" fillId="8" borderId="67" xfId="0" applyNumberFormat="1" applyFont="1" applyFill="1" applyBorder="1" applyAlignment="1">
      <alignment horizontal="right" vertical="center"/>
    </xf>
    <xf numFmtId="1" fontId="25" fillId="8" borderId="67" xfId="0" applyNumberFormat="1" applyFont="1" applyFill="1" applyBorder="1" applyAlignment="1">
      <alignment horizontal="center" vertical="center"/>
    </xf>
    <xf numFmtId="0" fontId="26" fillId="8" borderId="67" xfId="0" applyFont="1" applyFill="1" applyBorder="1" applyAlignment="1">
      <alignment vertical="center" shrinkToFit="1"/>
    </xf>
    <xf numFmtId="0" fontId="6" fillId="17" borderId="14" xfId="0" applyFont="1" applyFill="1" applyBorder="1" applyAlignment="1">
      <alignment horizontal="right" vertical="top"/>
    </xf>
    <xf numFmtId="0" fontId="40" fillId="10" borderId="14" xfId="0" applyFont="1" applyFill="1" applyBorder="1" applyAlignment="1">
      <alignment horizontal="left" vertical="top"/>
    </xf>
    <xf numFmtId="49" fontId="40" fillId="10" borderId="14" xfId="0" applyNumberFormat="1" applyFont="1" applyFill="1" applyBorder="1" applyAlignment="1">
      <alignment horizontal="left" vertical="top"/>
    </xf>
    <xf numFmtId="0" fontId="6" fillId="14" borderId="14" xfId="0" applyFont="1" applyFill="1" applyBorder="1" applyAlignment="1">
      <alignment horizontal="right" vertical="top" wrapText="1"/>
    </xf>
    <xf numFmtId="8" fontId="6" fillId="14" borderId="14" xfId="0" applyNumberFormat="1" applyFont="1" applyFill="1" applyBorder="1" applyAlignment="1">
      <alignment horizontal="right" vertical="top" wrapText="1"/>
    </xf>
    <xf numFmtId="164" fontId="6" fillId="14" borderId="14" xfId="0" applyNumberFormat="1" applyFont="1" applyFill="1" applyBorder="1" applyAlignment="1">
      <alignment horizontal="right" vertical="top" wrapText="1"/>
    </xf>
    <xf numFmtId="171" fontId="6" fillId="15" borderId="14" xfId="0" applyNumberFormat="1" applyFont="1" applyFill="1" applyBorder="1" applyAlignment="1">
      <alignment horizontal="right" vertical="top"/>
    </xf>
    <xf numFmtId="0" fontId="6" fillId="15" borderId="14" xfId="0" applyFont="1" applyFill="1" applyBorder="1" applyAlignment="1">
      <alignment horizontal="right" vertical="top"/>
    </xf>
    <xf numFmtId="8" fontId="6" fillId="15" borderId="14" xfId="0" applyNumberFormat="1" applyFont="1" applyFill="1" applyBorder="1" applyAlignment="1">
      <alignment horizontal="right" vertical="top"/>
    </xf>
    <xf numFmtId="170" fontId="6" fillId="16" borderId="14" xfId="0" applyNumberFormat="1" applyFont="1" applyFill="1" applyBorder="1" applyAlignment="1">
      <alignment horizontal="right" vertical="top"/>
    </xf>
    <xf numFmtId="0" fontId="6" fillId="16" borderId="14" xfId="0" applyFont="1" applyFill="1" applyBorder="1" applyAlignment="1">
      <alignment horizontal="right" vertical="top"/>
    </xf>
    <xf numFmtId="8" fontId="6" fillId="16" borderId="14" xfId="0" applyNumberFormat="1" applyFont="1" applyFill="1" applyBorder="1" applyAlignment="1">
      <alignment horizontal="right" vertical="top"/>
    </xf>
    <xf numFmtId="172" fontId="6" fillId="15" borderId="14" xfId="0" applyNumberFormat="1" applyFont="1" applyFill="1" applyBorder="1" applyAlignment="1">
      <alignment horizontal="right" vertical="top"/>
    </xf>
    <xf numFmtId="173" fontId="6" fillId="16" borderId="14" xfId="0" applyNumberFormat="1" applyFont="1" applyFill="1" applyBorder="1" applyAlignment="1">
      <alignment horizontal="right" vertical="top"/>
    </xf>
    <xf numFmtId="2" fontId="6" fillId="0" borderId="0" xfId="0" applyNumberFormat="1" applyFont="1" applyAlignment="1">
      <alignment horizontal="center" vertical="top"/>
    </xf>
    <xf numFmtId="2" fontId="6" fillId="0" borderId="0" xfId="0" applyNumberFormat="1" applyFont="1" applyAlignment="1">
      <alignment vertical="top"/>
    </xf>
    <xf numFmtId="0" fontId="6" fillId="0" borderId="0" xfId="0" applyFont="1" applyAlignment="1">
      <alignment vertical="top"/>
    </xf>
    <xf numFmtId="0" fontId="20" fillId="8" borderId="0" xfId="0" applyFont="1" applyFill="1" applyAlignment="1">
      <alignment horizontal="left"/>
    </xf>
    <xf numFmtId="0" fontId="20" fillId="0" borderId="0" xfId="0" applyFont="1" applyAlignment="1">
      <alignment horizontal="left"/>
    </xf>
    <xf numFmtId="0" fontId="20" fillId="8" borderId="0" xfId="0" applyFont="1" applyFill="1" applyAlignment="1">
      <alignment horizontal="left" vertical="center"/>
    </xf>
    <xf numFmtId="0" fontId="4" fillId="18" borderId="58" xfId="0" applyFont="1" applyFill="1" applyBorder="1" applyAlignment="1">
      <alignment horizontal="center"/>
    </xf>
    <xf numFmtId="170" fontId="0" fillId="0" borderId="60" xfId="0" applyNumberFormat="1" applyBorder="1" applyAlignment="1">
      <alignment horizontal="center"/>
    </xf>
    <xf numFmtId="1" fontId="0" fillId="0" borderId="59" xfId="0" applyNumberFormat="1" applyBorder="1" applyAlignment="1">
      <alignment horizontal="center"/>
    </xf>
    <xf numFmtId="170" fontId="0" fillId="0" borderId="59" xfId="0" applyNumberFormat="1" applyBorder="1" applyAlignment="1">
      <alignment horizontal="center"/>
    </xf>
    <xf numFmtId="1" fontId="0" fillId="0" borderId="61" xfId="0" applyNumberFormat="1" applyBorder="1" applyAlignment="1">
      <alignment horizontal="center"/>
    </xf>
    <xf numFmtId="8" fontId="0" fillId="0" borderId="59" xfId="0" applyNumberFormat="1" applyBorder="1" applyAlignment="1">
      <alignment horizontal="right"/>
    </xf>
    <xf numFmtId="8" fontId="4" fillId="0" borderId="59" xfId="0" applyNumberFormat="1" applyFont="1" applyBorder="1" applyAlignment="1">
      <alignment horizontal="right"/>
    </xf>
    <xf numFmtId="0" fontId="0" fillId="0" borderId="62" xfId="0" applyBorder="1" applyAlignment="1">
      <alignment horizontal="left"/>
    </xf>
    <xf numFmtId="8" fontId="0" fillId="0" borderId="62" xfId="0" applyNumberFormat="1" applyBorder="1" applyAlignment="1">
      <alignment horizontal="right"/>
    </xf>
    <xf numFmtId="8" fontId="4" fillId="0" borderId="62" xfId="0" applyNumberFormat="1" applyFont="1" applyBorder="1" applyAlignment="1">
      <alignment horizontal="right"/>
    </xf>
    <xf numFmtId="0" fontId="4" fillId="19" borderId="65" xfId="0" applyFont="1" applyFill="1" applyBorder="1" applyAlignment="1">
      <alignment horizontal="center"/>
    </xf>
    <xf numFmtId="0" fontId="0" fillId="0" borderId="62" xfId="0" applyBorder="1" applyAlignment="1">
      <alignment horizontal="center"/>
    </xf>
    <xf numFmtId="0" fontId="0" fillId="18" borderId="58" xfId="0" applyFill="1" applyBorder="1" applyAlignment="1">
      <alignment horizontal="center"/>
    </xf>
    <xf numFmtId="0" fontId="0" fillId="0" borderId="59" xfId="0" applyBorder="1" applyAlignment="1">
      <alignment horizontal="center"/>
    </xf>
    <xf numFmtId="0" fontId="19" fillId="9" borderId="0" xfId="0" applyFont="1" applyFill="1" applyAlignment="1">
      <alignment horizontal="right"/>
    </xf>
    <xf numFmtId="0" fontId="19" fillId="9" borderId="0" xfId="0" applyFont="1" applyFill="1" applyAlignment="1">
      <alignment horizontal="left"/>
    </xf>
    <xf numFmtId="6" fontId="19" fillId="9" borderId="0" xfId="0" applyNumberFormat="1" applyFont="1" applyFill="1"/>
    <xf numFmtId="164" fontId="19" fillId="9" borderId="0" xfId="0" applyNumberFormat="1" applyFont="1" applyFill="1"/>
    <xf numFmtId="164" fontId="0" fillId="0" borderId="10" xfId="0" applyNumberFormat="1" applyBorder="1"/>
    <xf numFmtId="0" fontId="29" fillId="9" borderId="66" xfId="0" applyFont="1" applyFill="1" applyBorder="1" applyAlignment="1">
      <alignment vertical="center"/>
    </xf>
    <xf numFmtId="0" fontId="41" fillId="11" borderId="70" xfId="0" applyFont="1" applyFill="1" applyBorder="1" applyAlignment="1">
      <alignment vertical="center"/>
    </xf>
    <xf numFmtId="0" fontId="41" fillId="11" borderId="71" xfId="0" applyFont="1" applyFill="1" applyBorder="1" applyAlignment="1">
      <alignment vertical="center"/>
    </xf>
    <xf numFmtId="0" fontId="41" fillId="11" borderId="72" xfId="0" applyFont="1" applyFill="1" applyBorder="1" applyAlignment="1">
      <alignment vertical="center"/>
    </xf>
    <xf numFmtId="0" fontId="42" fillId="8" borderId="0" xfId="1" applyFont="1" applyFill="1" applyAlignment="1" applyProtection="1"/>
    <xf numFmtId="0" fontId="42" fillId="0" borderId="0" xfId="1" applyFont="1" applyAlignment="1" applyProtection="1"/>
    <xf numFmtId="0" fontId="42" fillId="8" borderId="0" xfId="1" applyFont="1" applyFill="1" applyAlignment="1" applyProtection="1">
      <alignment wrapText="1"/>
    </xf>
    <xf numFmtId="2" fontId="2" fillId="0" borderId="0" xfId="1" applyNumberFormat="1" applyAlignment="1" applyProtection="1">
      <alignment horizontal="center" vertical="center"/>
    </xf>
    <xf numFmtId="0" fontId="43" fillId="9" borderId="0" xfId="0" applyFont="1" applyFill="1" applyAlignment="1">
      <alignment vertical="center"/>
    </xf>
    <xf numFmtId="170" fontId="26" fillId="0" borderId="14" xfId="0" applyNumberFormat="1" applyFont="1" applyBorder="1" applyAlignment="1">
      <alignment horizontal="right" vertical="center"/>
    </xf>
    <xf numFmtId="170" fontId="39" fillId="0" borderId="5" xfId="0" applyNumberFormat="1" applyFont="1" applyBorder="1" applyAlignment="1">
      <alignment horizontal="right" vertical="center"/>
    </xf>
    <xf numFmtId="0" fontId="19" fillId="9" borderId="14" xfId="0" applyFont="1" applyFill="1" applyBorder="1" applyAlignment="1">
      <alignment vertical="center"/>
    </xf>
    <xf numFmtId="0" fontId="0" fillId="8" borderId="14" xfId="0" applyFill="1" applyBorder="1" applyAlignment="1">
      <alignment vertical="center"/>
    </xf>
    <xf numFmtId="170" fontId="0" fillId="8" borderId="14" xfId="0" applyNumberFormat="1" applyFill="1" applyBorder="1" applyAlignment="1">
      <alignment vertical="center"/>
    </xf>
    <xf numFmtId="1" fontId="0" fillId="8" borderId="14" xfId="0" applyNumberFormat="1" applyFill="1" applyBorder="1" applyAlignment="1">
      <alignment vertical="center"/>
    </xf>
    <xf numFmtId="1" fontId="22" fillId="8" borderId="0" xfId="0" applyNumberFormat="1" applyFont="1" applyFill="1" applyAlignment="1">
      <alignment horizontal="center" vertical="center"/>
    </xf>
    <xf numFmtId="1" fontId="44" fillId="8" borderId="0" xfId="0" applyNumberFormat="1" applyFont="1" applyFill="1" applyAlignment="1">
      <alignment horizontal="center" vertical="center"/>
    </xf>
    <xf numFmtId="0" fontId="45" fillId="9" borderId="14" xfId="0" applyFont="1" applyFill="1" applyBorder="1" applyAlignment="1">
      <alignment horizontal="right" vertical="center" wrapText="1"/>
    </xf>
    <xf numFmtId="1" fontId="22" fillId="8" borderId="0" xfId="0" applyNumberFormat="1" applyFont="1" applyFill="1" applyAlignment="1">
      <alignment horizontal="center" vertical="center" wrapText="1"/>
    </xf>
    <xf numFmtId="0" fontId="19" fillId="9" borderId="43" xfId="0" applyFont="1" applyFill="1" applyBorder="1" applyAlignment="1">
      <alignment horizontal="right" vertical="center" wrapText="1"/>
    </xf>
    <xf numFmtId="170" fontId="0" fillId="8" borderId="14" xfId="0" applyNumberFormat="1" applyFill="1" applyBorder="1" applyAlignment="1">
      <alignment horizontal="right" vertical="center"/>
    </xf>
    <xf numFmtId="0" fontId="1" fillId="18" borderId="14" xfId="0" quotePrefix="1" applyFont="1" applyFill="1" applyBorder="1" applyAlignment="1">
      <alignment horizontal="center" vertical="center"/>
    </xf>
    <xf numFmtId="0" fontId="46" fillId="8" borderId="18" xfId="0" applyFont="1" applyFill="1" applyBorder="1" applyAlignment="1">
      <alignment vertical="center"/>
    </xf>
    <xf numFmtId="0" fontId="47" fillId="8" borderId="14" xfId="0" applyFont="1" applyFill="1" applyBorder="1" applyAlignment="1">
      <alignment horizontal="center" vertical="center"/>
    </xf>
    <xf numFmtId="0" fontId="48" fillId="8" borderId="0" xfId="0" applyFont="1" applyFill="1" applyAlignment="1">
      <alignment horizontal="right" vertical="center"/>
    </xf>
    <xf numFmtId="0" fontId="20" fillId="8" borderId="0" xfId="0" applyFont="1" applyFill="1" applyAlignment="1">
      <alignment horizontal="center"/>
    </xf>
    <xf numFmtId="0" fontId="47" fillId="8" borderId="0" xfId="0" applyFont="1" applyFill="1" applyAlignment="1">
      <alignment horizontal="right"/>
    </xf>
    <xf numFmtId="2" fontId="20" fillId="8" borderId="0" xfId="0" applyNumberFormat="1" applyFont="1" applyFill="1" applyAlignment="1">
      <alignment horizontal="center"/>
    </xf>
    <xf numFmtId="0" fontId="0" fillId="5" borderId="11" xfId="0" applyFill="1" applyBorder="1" applyAlignment="1">
      <alignment horizontal="center"/>
    </xf>
    <xf numFmtId="2" fontId="0" fillId="5" borderId="14" xfId="0" applyNumberFormat="1" applyFill="1" applyBorder="1" applyAlignment="1">
      <alignment horizontal="center"/>
    </xf>
    <xf numFmtId="0" fontId="1" fillId="8" borderId="52" xfId="0" applyFont="1" applyFill="1" applyBorder="1" applyAlignment="1">
      <alignment horizontal="center"/>
    </xf>
    <xf numFmtId="0" fontId="1" fillId="18" borderId="1" xfId="0" applyFont="1" applyFill="1" applyBorder="1" applyAlignment="1">
      <alignment horizontal="center"/>
    </xf>
    <xf numFmtId="2" fontId="1" fillId="8" borderId="52" xfId="0" applyNumberFormat="1" applyFont="1" applyFill="1" applyBorder="1" applyAlignment="1">
      <alignment horizontal="center"/>
    </xf>
    <xf numFmtId="2" fontId="1" fillId="18" borderId="2" xfId="0" applyNumberFormat="1" applyFont="1" applyFill="1" applyBorder="1" applyAlignment="1">
      <alignment horizontal="center"/>
    </xf>
    <xf numFmtId="0" fontId="20" fillId="8" borderId="0" xfId="0" applyFont="1" applyFill="1"/>
    <xf numFmtId="0" fontId="44" fillId="8" borderId="0" xfId="0" applyFont="1" applyFill="1" applyAlignment="1">
      <alignment horizontal="center"/>
    </xf>
    <xf numFmtId="2" fontId="44" fillId="8" borderId="0" xfId="0" applyNumberFormat="1" applyFont="1" applyFill="1" applyAlignment="1">
      <alignment horizontal="center"/>
    </xf>
    <xf numFmtId="0" fontId="20" fillId="0" borderId="0" xfId="0" applyFont="1"/>
    <xf numFmtId="0" fontId="4" fillId="5" borderId="7" xfId="0" applyFont="1" applyFill="1" applyBorder="1" applyAlignment="1">
      <alignment horizontal="center" wrapText="1"/>
    </xf>
    <xf numFmtId="2" fontId="48" fillId="8" borderId="14" xfId="0" applyNumberFormat="1" applyFont="1" applyFill="1" applyBorder="1" applyAlignment="1">
      <alignment horizontal="center" vertical="center"/>
    </xf>
    <xf numFmtId="2" fontId="17" fillId="18" borderId="14" xfId="0" applyNumberFormat="1" applyFont="1" applyFill="1" applyBorder="1" applyAlignment="1">
      <alignment horizontal="center" vertical="center"/>
    </xf>
    <xf numFmtId="170" fontId="49" fillId="8" borderId="14" xfId="0" applyNumberFormat="1" applyFont="1" applyFill="1" applyBorder="1" applyAlignment="1">
      <alignment horizontal="center"/>
    </xf>
    <xf numFmtId="0" fontId="49" fillId="8" borderId="14" xfId="0" applyFont="1" applyFill="1" applyBorder="1" applyAlignment="1">
      <alignment horizontal="left"/>
    </xf>
    <xf numFmtId="173" fontId="49" fillId="8" borderId="14" xfId="0" applyNumberFormat="1" applyFont="1" applyFill="1" applyBorder="1" applyAlignment="1">
      <alignment horizontal="left"/>
    </xf>
    <xf numFmtId="170" fontId="50" fillId="9" borderId="14" xfId="0" applyNumberFormat="1" applyFont="1" applyFill="1" applyBorder="1" applyAlignment="1">
      <alignment horizontal="center" vertical="center" wrapText="1"/>
    </xf>
    <xf numFmtId="0" fontId="0" fillId="0" borderId="55" xfId="0" applyBorder="1"/>
    <xf numFmtId="0" fontId="4" fillId="9" borderId="0" xfId="0" applyFont="1" applyFill="1"/>
    <xf numFmtId="0" fontId="51" fillId="9" borderId="73" xfId="0" applyFont="1" applyFill="1" applyBorder="1"/>
    <xf numFmtId="0" fontId="52" fillId="8" borderId="73" xfId="0" applyFont="1" applyFill="1" applyBorder="1" applyAlignment="1">
      <alignment shrinkToFit="1"/>
    </xf>
    <xf numFmtId="0" fontId="52" fillId="8" borderId="74" xfId="0" applyFont="1" applyFill="1" applyBorder="1" applyAlignment="1">
      <alignment shrinkToFit="1"/>
    </xf>
    <xf numFmtId="0" fontId="52" fillId="8" borderId="75" xfId="0" applyFont="1" applyFill="1" applyBorder="1" applyAlignment="1">
      <alignment shrinkToFit="1"/>
    </xf>
    <xf numFmtId="0" fontId="52" fillId="8" borderId="73" xfId="0" applyFont="1" applyFill="1" applyBorder="1" applyAlignment="1">
      <alignment vertical="center" shrinkToFit="1"/>
    </xf>
    <xf numFmtId="170" fontId="53" fillId="8" borderId="73" xfId="0" applyNumberFormat="1" applyFont="1" applyFill="1" applyBorder="1" applyAlignment="1">
      <alignment vertical="center" shrinkToFit="1"/>
    </xf>
    <xf numFmtId="0" fontId="52" fillId="8" borderId="76" xfId="0" applyFont="1" applyFill="1" applyBorder="1" applyAlignment="1">
      <alignment vertical="center" shrinkToFit="1"/>
    </xf>
    <xf numFmtId="0" fontId="52" fillId="8" borderId="74" xfId="0" applyFont="1" applyFill="1" applyBorder="1" applyAlignment="1">
      <alignment vertical="center" shrinkToFit="1"/>
    </xf>
    <xf numFmtId="170" fontId="53" fillId="8" borderId="74" xfId="0" applyNumberFormat="1" applyFont="1" applyFill="1" applyBorder="1" applyAlignment="1">
      <alignment vertical="center" shrinkToFit="1"/>
    </xf>
    <xf numFmtId="0" fontId="52" fillId="8" borderId="77" xfId="0" applyFont="1" applyFill="1" applyBorder="1" applyAlignment="1">
      <alignment vertical="center" shrinkToFit="1"/>
    </xf>
    <xf numFmtId="0" fontId="54" fillId="8" borderId="75" xfId="0" applyFont="1" applyFill="1" applyBorder="1" applyAlignment="1">
      <alignment vertical="center" shrinkToFit="1"/>
    </xf>
    <xf numFmtId="0" fontId="54" fillId="8" borderId="73" xfId="0" applyFont="1" applyFill="1" applyBorder="1" applyAlignment="1">
      <alignment vertical="center" shrinkToFit="1"/>
    </xf>
    <xf numFmtId="170" fontId="55" fillId="8" borderId="75" xfId="0" applyNumberFormat="1" applyFont="1" applyFill="1" applyBorder="1" applyAlignment="1">
      <alignment vertical="center" shrinkToFit="1"/>
    </xf>
    <xf numFmtId="0" fontId="54" fillId="8" borderId="78" xfId="0" applyFont="1" applyFill="1" applyBorder="1" applyAlignment="1">
      <alignment vertical="center" shrinkToFit="1"/>
    </xf>
    <xf numFmtId="0" fontId="54" fillId="8" borderId="79" xfId="0" applyFont="1" applyFill="1" applyBorder="1" applyAlignment="1">
      <alignment vertical="center" shrinkToFit="1"/>
    </xf>
    <xf numFmtId="170" fontId="55" fillId="8" borderId="73" xfId="0" applyNumberFormat="1" applyFont="1" applyFill="1" applyBorder="1" applyAlignment="1">
      <alignment vertical="center" shrinkToFit="1"/>
    </xf>
    <xf numFmtId="0" fontId="54" fillId="8" borderId="76" xfId="0" applyFont="1" applyFill="1" applyBorder="1" applyAlignment="1">
      <alignment vertical="center" shrinkToFit="1"/>
    </xf>
    <xf numFmtId="0" fontId="54" fillId="8" borderId="80" xfId="0" applyFont="1" applyFill="1" applyBorder="1" applyAlignment="1">
      <alignment vertical="center" shrinkToFit="1"/>
    </xf>
    <xf numFmtId="170" fontId="54" fillId="8" borderId="73" xfId="0" applyNumberFormat="1" applyFont="1" applyFill="1" applyBorder="1" applyAlignment="1">
      <alignment vertical="center" shrinkToFit="1"/>
    </xf>
    <xf numFmtId="0" fontId="55" fillId="8" borderId="73" xfId="0" applyFont="1" applyFill="1" applyBorder="1" applyAlignment="1">
      <alignment vertical="center" shrinkToFit="1"/>
    </xf>
    <xf numFmtId="170" fontId="6" fillId="8" borderId="14" xfId="0" applyNumberFormat="1" applyFont="1" applyFill="1" applyBorder="1" applyAlignment="1">
      <alignment horizontal="right" vertical="top" wrapText="1"/>
    </xf>
    <xf numFmtId="0" fontId="6" fillId="8" borderId="14" xfId="0" applyFont="1" applyFill="1" applyBorder="1" applyAlignment="1">
      <alignment horizontal="center" vertical="top" wrapText="1"/>
    </xf>
    <xf numFmtId="1" fontId="6" fillId="8" borderId="14" xfId="0" applyNumberFormat="1" applyFont="1" applyFill="1" applyBorder="1" applyAlignment="1">
      <alignment horizontal="center" vertical="top" wrapText="1"/>
    </xf>
    <xf numFmtId="2" fontId="26" fillId="8" borderId="14" xfId="0" applyNumberFormat="1" applyFont="1" applyFill="1" applyBorder="1" applyAlignment="1">
      <alignment horizontal="center" vertical="center"/>
    </xf>
    <xf numFmtId="1" fontId="19" fillId="9" borderId="43" xfId="0" applyNumberFormat="1" applyFont="1" applyFill="1" applyBorder="1" applyAlignment="1">
      <alignment horizontal="center" vertical="center" wrapText="1"/>
    </xf>
    <xf numFmtId="1" fontId="4" fillId="0" borderId="14" xfId="0" applyNumberFormat="1" applyFont="1" applyBorder="1" applyAlignment="1">
      <alignment horizontal="center"/>
    </xf>
    <xf numFmtId="1" fontId="4" fillId="8" borderId="0" xfId="0" applyNumberFormat="1" applyFont="1" applyFill="1" applyAlignment="1">
      <alignment horizontal="center"/>
    </xf>
    <xf numFmtId="0" fontId="56" fillId="9" borderId="16" xfId="0" applyFont="1" applyFill="1" applyBorder="1" applyAlignment="1">
      <alignment horizontal="left" vertical="center"/>
    </xf>
    <xf numFmtId="0" fontId="4" fillId="2" borderId="36" xfId="0" applyFont="1" applyFill="1" applyBorder="1" applyAlignment="1">
      <alignment vertical="center"/>
    </xf>
    <xf numFmtId="0" fontId="4" fillId="2" borderId="41" xfId="0" applyFont="1" applyFill="1" applyBorder="1" applyAlignment="1">
      <alignment vertical="center"/>
    </xf>
    <xf numFmtId="0" fontId="4" fillId="8" borderId="0" xfId="0" applyFont="1" applyFill="1" applyAlignment="1">
      <alignment horizontal="center" vertical="center"/>
    </xf>
    <xf numFmtId="0" fontId="0" fillId="0" borderId="69" xfId="0" applyBorder="1"/>
    <xf numFmtId="170" fontId="26" fillId="0" borderId="67" xfId="0" quotePrefix="1" applyNumberFormat="1" applyFont="1" applyBorder="1" applyAlignment="1">
      <alignment horizontal="right" vertical="center"/>
    </xf>
    <xf numFmtId="0" fontId="18" fillId="9" borderId="82" xfId="0" applyFont="1" applyFill="1" applyBorder="1" applyAlignment="1">
      <alignment vertical="center"/>
    </xf>
    <xf numFmtId="8" fontId="4" fillId="0" borderId="0" xfId="0" applyNumberFormat="1" applyFont="1" applyAlignment="1">
      <alignment horizontal="right"/>
    </xf>
    <xf numFmtId="0" fontId="19" fillId="9" borderId="43" xfId="0" applyFont="1" applyFill="1" applyBorder="1" applyAlignment="1">
      <alignment horizontal="left" vertical="top"/>
    </xf>
    <xf numFmtId="2" fontId="19" fillId="9" borderId="45" xfId="0" applyNumberFormat="1" applyFont="1" applyFill="1" applyBorder="1" applyAlignment="1">
      <alignment horizontal="center" vertical="top"/>
    </xf>
    <xf numFmtId="0" fontId="19" fillId="9" borderId="46" xfId="0" applyFont="1" applyFill="1" applyBorder="1" applyAlignment="1">
      <alignment horizontal="center" vertical="top"/>
    </xf>
    <xf numFmtId="0" fontId="19" fillId="9" borderId="31" xfId="0" applyFont="1" applyFill="1" applyBorder="1" applyAlignment="1">
      <alignment horizontal="right" vertical="top"/>
    </xf>
    <xf numFmtId="0" fontId="52" fillId="18" borderId="80" xfId="0" applyFont="1" applyFill="1" applyBorder="1" applyAlignment="1">
      <alignment vertical="center" shrinkToFit="1"/>
    </xf>
    <xf numFmtId="0" fontId="52" fillId="18" borderId="81" xfId="0" applyFont="1" applyFill="1" applyBorder="1" applyAlignment="1">
      <alignment vertical="center" shrinkToFit="1"/>
    </xf>
    <xf numFmtId="0" fontId="59" fillId="19" borderId="79" xfId="0" applyFont="1" applyFill="1" applyBorder="1" applyAlignment="1">
      <alignment vertical="center" shrinkToFit="1"/>
    </xf>
    <xf numFmtId="0" fontId="59" fillId="19" borderId="80" xfId="0" applyFont="1" applyFill="1" applyBorder="1" applyAlignment="1">
      <alignment vertical="center" shrinkToFit="1"/>
    </xf>
    <xf numFmtId="0" fontId="59" fillId="19" borderId="75" xfId="0" applyFont="1" applyFill="1" applyBorder="1" applyAlignment="1">
      <alignment vertical="center" shrinkToFit="1"/>
    </xf>
    <xf numFmtId="0" fontId="59" fillId="19" borderId="73" xfId="0" applyFont="1" applyFill="1" applyBorder="1" applyAlignment="1">
      <alignment vertical="center" shrinkToFit="1"/>
    </xf>
    <xf numFmtId="49" fontId="19" fillId="9" borderId="14" xfId="0" applyNumberFormat="1" applyFont="1" applyFill="1" applyBorder="1" applyAlignment="1">
      <alignment horizontal="center" vertical="center" wrapText="1"/>
    </xf>
    <xf numFmtId="0" fontId="19" fillId="9" borderId="14" xfId="0" applyFont="1" applyFill="1" applyBorder="1" applyAlignment="1">
      <alignment horizontal="center" vertical="center" wrapText="1"/>
    </xf>
    <xf numFmtId="0" fontId="0" fillId="0" borderId="0" xfId="0" pivotButton="1"/>
    <xf numFmtId="0" fontId="4" fillId="21" borderId="52" xfId="0" applyFont="1" applyFill="1" applyBorder="1" applyAlignment="1">
      <alignment horizontal="center"/>
    </xf>
    <xf numFmtId="170" fontId="55" fillId="0" borderId="75" xfId="0" applyNumberFormat="1" applyFont="1" applyBorder="1" applyAlignment="1">
      <alignment vertical="center" shrinkToFit="1"/>
    </xf>
    <xf numFmtId="0" fontId="54" fillId="0" borderId="78" xfId="0" applyFont="1" applyBorder="1" applyAlignment="1">
      <alignment vertical="center" shrinkToFit="1"/>
    </xf>
    <xf numFmtId="0" fontId="54" fillId="0" borderId="80" xfId="0" applyFont="1" applyBorder="1" applyAlignment="1">
      <alignment vertical="center" shrinkToFit="1"/>
    </xf>
    <xf numFmtId="170" fontId="55" fillId="0" borderId="73" xfId="0" applyNumberFormat="1" applyFont="1" applyBorder="1" applyAlignment="1">
      <alignment vertical="center" shrinkToFit="1"/>
    </xf>
    <xf numFmtId="0" fontId="54" fillId="0" borderId="76" xfId="0" applyFont="1" applyBorder="1" applyAlignment="1">
      <alignment vertical="center" shrinkToFit="1"/>
    </xf>
    <xf numFmtId="170" fontId="55" fillId="0" borderId="74" xfId="0" applyNumberFormat="1" applyFont="1" applyBorder="1" applyAlignment="1">
      <alignment vertical="center" shrinkToFit="1"/>
    </xf>
    <xf numFmtId="0" fontId="54" fillId="0" borderId="77" xfId="0" applyFont="1" applyBorder="1" applyAlignment="1">
      <alignment vertical="center" shrinkToFit="1"/>
    </xf>
    <xf numFmtId="0" fontId="54" fillId="0" borderId="81" xfId="0" applyFont="1" applyBorder="1" applyAlignment="1">
      <alignment vertical="center" shrinkToFit="1"/>
    </xf>
    <xf numFmtId="0" fontId="54" fillId="21" borderId="73" xfId="0" applyFont="1" applyFill="1" applyBorder="1" applyAlignment="1">
      <alignment vertical="center" shrinkToFit="1"/>
    </xf>
    <xf numFmtId="0" fontId="54" fillId="21" borderId="74" xfId="0" applyFont="1" applyFill="1" applyBorder="1" applyAlignment="1">
      <alignment vertical="center" shrinkToFit="1"/>
    </xf>
    <xf numFmtId="0" fontId="54" fillId="21" borderId="79" xfId="0" applyFont="1" applyFill="1" applyBorder="1" applyAlignment="1">
      <alignment vertical="center" shrinkToFit="1"/>
    </xf>
    <xf numFmtId="0" fontId="54" fillId="21" borderId="80" xfId="0" applyFont="1" applyFill="1" applyBorder="1" applyAlignment="1">
      <alignment vertical="center" shrinkToFit="1"/>
    </xf>
    <xf numFmtId="0" fontId="54" fillId="20" borderId="80" xfId="0" applyFont="1" applyFill="1" applyBorder="1" applyAlignment="1">
      <alignment vertical="center" shrinkToFit="1"/>
    </xf>
    <xf numFmtId="0" fontId="54" fillId="20" borderId="81" xfId="0" applyFont="1" applyFill="1" applyBorder="1" applyAlignment="1">
      <alignment vertical="center" shrinkToFit="1"/>
    </xf>
    <xf numFmtId="0" fontId="54" fillId="20" borderId="79" xfId="0" applyFont="1" applyFill="1" applyBorder="1" applyAlignment="1">
      <alignment vertical="center" shrinkToFit="1"/>
    </xf>
    <xf numFmtId="0" fontId="59" fillId="22" borderId="80" xfId="0" applyFont="1" applyFill="1" applyBorder="1" applyAlignment="1">
      <alignment vertical="center" shrinkToFit="1"/>
    </xf>
    <xf numFmtId="0" fontId="59" fillId="22" borderId="81" xfId="0" applyFont="1" applyFill="1" applyBorder="1" applyAlignment="1">
      <alignment vertical="center" shrinkToFit="1"/>
    </xf>
    <xf numFmtId="0" fontId="59" fillId="22" borderId="79" xfId="0" applyFont="1" applyFill="1" applyBorder="1" applyAlignment="1">
      <alignment vertical="center" shrinkToFit="1"/>
    </xf>
    <xf numFmtId="0" fontId="0" fillId="19" borderId="0" xfId="0" applyFill="1"/>
    <xf numFmtId="0" fontId="23" fillId="8" borderId="0" xfId="0" applyFont="1" applyFill="1"/>
    <xf numFmtId="49" fontId="5" fillId="0" borderId="0" xfId="0" applyNumberFormat="1" applyFont="1"/>
    <xf numFmtId="170" fontId="5" fillId="0" borderId="0" xfId="0" applyNumberFormat="1" applyFont="1"/>
    <xf numFmtId="1" fontId="5" fillId="0" borderId="0" xfId="0" applyNumberFormat="1" applyFont="1"/>
    <xf numFmtId="40" fontId="5" fillId="0" borderId="0" xfId="0" applyNumberFormat="1" applyFont="1"/>
    <xf numFmtId="169" fontId="20" fillId="8" borderId="0" xfId="0" applyNumberFormat="1" applyFont="1" applyFill="1" applyAlignment="1">
      <alignment horizontal="left"/>
    </xf>
    <xf numFmtId="16" fontId="19" fillId="9" borderId="0" xfId="0" applyNumberFormat="1" applyFont="1" applyFill="1" applyAlignment="1">
      <alignment horizontal="left"/>
    </xf>
    <xf numFmtId="0" fontId="19" fillId="9" borderId="0" xfId="0" applyFont="1" applyFill="1" applyAlignment="1">
      <alignment horizontal="center"/>
    </xf>
    <xf numFmtId="178" fontId="4" fillId="8" borderId="0" xfId="0" applyNumberFormat="1" applyFont="1" applyFill="1" applyAlignment="1">
      <alignment horizontal="left"/>
    </xf>
    <xf numFmtId="178" fontId="0" fillId="0" borderId="0" xfId="0" applyNumberFormat="1" applyAlignment="1">
      <alignment horizontal="left"/>
    </xf>
    <xf numFmtId="0" fontId="56" fillId="9" borderId="22" xfId="0" applyFont="1" applyFill="1" applyBorder="1" applyAlignment="1">
      <alignment horizontal="left" vertical="center"/>
    </xf>
    <xf numFmtId="0" fontId="56" fillId="9" borderId="0" xfId="1" applyFont="1" applyFill="1" applyAlignment="1" applyProtection="1">
      <alignment horizontal="right" vertical="center"/>
    </xf>
    <xf numFmtId="0" fontId="56" fillId="9" borderId="0" xfId="0" applyFont="1" applyFill="1" applyAlignment="1">
      <alignment horizontal="left" vertical="center"/>
    </xf>
    <xf numFmtId="0" fontId="0" fillId="0" borderId="85" xfId="0" applyBorder="1"/>
    <xf numFmtId="0" fontId="1" fillId="2" borderId="47" xfId="0" applyFont="1" applyFill="1" applyBorder="1" applyAlignment="1">
      <alignment horizontal="left" vertical="top"/>
    </xf>
    <xf numFmtId="176" fontId="19" fillId="9" borderId="14" xfId="0" applyNumberFormat="1" applyFont="1" applyFill="1" applyBorder="1" applyAlignment="1">
      <alignment horizontal="left" vertical="center" wrapText="1"/>
    </xf>
    <xf numFmtId="0" fontId="62" fillId="8" borderId="21" xfId="0" applyFont="1" applyFill="1" applyBorder="1" applyAlignment="1">
      <alignment horizontal="center" vertical="center" shrinkToFit="1"/>
    </xf>
    <xf numFmtId="0" fontId="56" fillId="9" borderId="21" xfId="0" applyFont="1" applyFill="1" applyBorder="1" applyAlignment="1">
      <alignment horizontal="left" vertical="center"/>
    </xf>
    <xf numFmtId="0" fontId="26" fillId="8" borderId="14" xfId="0" applyFont="1" applyFill="1" applyBorder="1" applyAlignment="1">
      <alignment horizontal="right" vertical="center"/>
    </xf>
    <xf numFmtId="0" fontId="56" fillId="9" borderId="21" xfId="0" applyFont="1" applyFill="1" applyBorder="1" applyAlignment="1">
      <alignment horizontal="center" vertical="center"/>
    </xf>
    <xf numFmtId="0" fontId="56" fillId="9" borderId="22" xfId="0" applyFont="1" applyFill="1" applyBorder="1" applyAlignment="1">
      <alignment horizontal="right" vertical="center"/>
    </xf>
    <xf numFmtId="0" fontId="56" fillId="9" borderId="22" xfId="0" applyFont="1" applyFill="1" applyBorder="1" applyAlignment="1">
      <alignment horizontal="center" vertical="center"/>
    </xf>
    <xf numFmtId="0" fontId="56" fillId="9" borderId="14" xfId="0" applyFont="1" applyFill="1" applyBorder="1" applyAlignment="1">
      <alignment horizontal="right" vertical="center"/>
    </xf>
    <xf numFmtId="0" fontId="25" fillId="8" borderId="21" xfId="0" applyFont="1" applyFill="1" applyBorder="1" applyAlignment="1">
      <alignment horizontal="center" vertical="center" shrinkToFit="1"/>
    </xf>
    <xf numFmtId="0" fontId="25" fillId="8" borderId="16" xfId="0" applyFont="1" applyFill="1" applyBorder="1" applyAlignment="1">
      <alignment horizontal="center" vertical="center" shrinkToFit="1"/>
    </xf>
    <xf numFmtId="0" fontId="62" fillId="8" borderId="14" xfId="0" applyFont="1" applyFill="1" applyBorder="1" applyAlignment="1">
      <alignment horizontal="center" vertical="center" shrinkToFit="1"/>
    </xf>
    <xf numFmtId="0" fontId="63" fillId="9" borderId="21" xfId="0" applyFont="1" applyFill="1" applyBorder="1" applyAlignment="1">
      <alignment horizontal="center" vertical="center"/>
    </xf>
    <xf numFmtId="0" fontId="63" fillId="9" borderId="21" xfId="0" applyFont="1" applyFill="1" applyBorder="1" applyAlignment="1">
      <alignment horizontal="center" vertical="center" wrapText="1"/>
    </xf>
    <xf numFmtId="0" fontId="54" fillId="0" borderId="88" xfId="0" applyFont="1" applyBorder="1" applyAlignment="1">
      <alignment horizontal="center" vertical="center" shrinkToFit="1"/>
    </xf>
    <xf numFmtId="0" fontId="54" fillId="0" borderId="89" xfId="0" applyFont="1" applyBorder="1" applyAlignment="1">
      <alignment horizontal="center" vertical="center" shrinkToFit="1"/>
    </xf>
    <xf numFmtId="0" fontId="54" fillId="0" borderId="88" xfId="0" quotePrefix="1" applyFont="1" applyBorder="1" applyAlignment="1">
      <alignment horizontal="center" vertical="center" shrinkToFit="1"/>
    </xf>
    <xf numFmtId="2" fontId="54" fillId="0" borderId="16" xfId="0" applyNumberFormat="1" applyFont="1" applyBorder="1" applyAlignment="1">
      <alignment horizontal="center" vertical="center" shrinkToFit="1"/>
    </xf>
    <xf numFmtId="2" fontId="54" fillId="0" borderId="86" xfId="0" applyNumberFormat="1" applyFont="1" applyBorder="1" applyAlignment="1">
      <alignment horizontal="center" vertical="center" shrinkToFit="1"/>
    </xf>
    <xf numFmtId="2" fontId="54" fillId="0" borderId="16" xfId="0" quotePrefix="1" applyNumberFormat="1" applyFont="1" applyBorder="1" applyAlignment="1">
      <alignment horizontal="center" vertical="center" shrinkToFit="1"/>
    </xf>
    <xf numFmtId="0" fontId="26" fillId="0" borderId="88" xfId="0" applyFont="1" applyBorder="1" applyAlignment="1">
      <alignment horizontal="center" vertical="center" shrinkToFit="1"/>
    </xf>
    <xf numFmtId="0" fontId="26" fillId="0" borderId="89" xfId="0" applyFont="1" applyBorder="1" applyAlignment="1">
      <alignment horizontal="center" vertical="center" shrinkToFit="1"/>
    </xf>
    <xf numFmtId="0" fontId="39" fillId="0" borderId="88" xfId="0" applyFont="1" applyBorder="1" applyAlignment="1">
      <alignment horizontal="center" vertical="center" shrinkToFit="1"/>
    </xf>
    <xf numFmtId="0" fontId="39" fillId="0" borderId="88" xfId="0" quotePrefix="1" applyFont="1" applyBorder="1" applyAlignment="1">
      <alignment horizontal="center" vertical="center" shrinkToFit="1"/>
    </xf>
    <xf numFmtId="2" fontId="26" fillId="8" borderId="14" xfId="0" applyNumberFormat="1" applyFont="1" applyFill="1" applyBorder="1" applyAlignment="1">
      <alignment horizontal="right" vertical="center" shrinkToFit="1"/>
    </xf>
    <xf numFmtId="0" fontId="25" fillId="8" borderId="16" xfId="0" applyFont="1" applyFill="1" applyBorder="1" applyAlignment="1">
      <alignment vertical="center"/>
    </xf>
    <xf numFmtId="0" fontId="19" fillId="9" borderId="16" xfId="0" applyFont="1" applyFill="1" applyBorder="1" applyAlignment="1">
      <alignment vertical="center"/>
    </xf>
    <xf numFmtId="0" fontId="19" fillId="9" borderId="16" xfId="0" applyFont="1" applyFill="1" applyBorder="1" applyAlignment="1">
      <alignment horizontal="center" vertical="center" shrinkToFit="1"/>
    </xf>
    <xf numFmtId="0" fontId="64" fillId="9" borderId="21" xfId="0" applyFont="1" applyFill="1" applyBorder="1" applyAlignment="1">
      <alignment horizontal="center" vertical="center" shrinkToFit="1"/>
    </xf>
    <xf numFmtId="0" fontId="19" fillId="9" borderId="21" xfId="0" applyFont="1" applyFill="1" applyBorder="1" applyAlignment="1">
      <alignment horizontal="center" vertical="center" shrinkToFit="1"/>
    </xf>
    <xf numFmtId="0" fontId="56" fillId="9" borderId="14" xfId="0" applyFont="1" applyFill="1" applyBorder="1" applyAlignment="1">
      <alignment vertical="center"/>
    </xf>
    <xf numFmtId="0" fontId="25" fillId="8" borderId="21" xfId="0" applyFont="1" applyFill="1" applyBorder="1" applyAlignment="1">
      <alignment vertical="center"/>
    </xf>
    <xf numFmtId="0" fontId="26" fillId="8" borderId="21" xfId="0" applyFont="1" applyFill="1" applyBorder="1" applyAlignment="1">
      <alignment horizontal="right" vertical="center"/>
    </xf>
    <xf numFmtId="0" fontId="54" fillId="8" borderId="0" xfId="0" applyFont="1" applyFill="1" applyAlignment="1">
      <alignment vertical="center" shrinkToFit="1"/>
    </xf>
    <xf numFmtId="0" fontId="56" fillId="9" borderId="16" xfId="0" applyFont="1" applyFill="1" applyBorder="1" applyAlignment="1">
      <alignment horizontal="center" vertical="center"/>
    </xf>
    <xf numFmtId="0" fontId="58" fillId="9" borderId="18" xfId="0" applyFont="1" applyFill="1" applyBorder="1" applyAlignment="1">
      <alignment horizontal="center" vertical="center" wrapText="1"/>
    </xf>
    <xf numFmtId="0" fontId="62" fillId="8" borderId="16" xfId="0" applyFont="1" applyFill="1" applyBorder="1" applyAlignment="1">
      <alignment horizontal="left" vertical="center" shrinkToFit="1"/>
    </xf>
    <xf numFmtId="0" fontId="62" fillId="8" borderId="21" xfId="0" applyFont="1" applyFill="1" applyBorder="1" applyAlignment="1">
      <alignment horizontal="left" vertical="center" shrinkToFit="1"/>
    </xf>
    <xf numFmtId="0" fontId="62" fillId="8" borderId="22" xfId="0" applyFont="1" applyFill="1" applyBorder="1" applyAlignment="1">
      <alignment horizontal="left" vertical="center" shrinkToFit="1"/>
    </xf>
    <xf numFmtId="0" fontId="4" fillId="6" borderId="9" xfId="0" applyFont="1" applyFill="1" applyBorder="1"/>
    <xf numFmtId="0" fontId="4" fillId="6" borderId="10" xfId="0" applyFont="1" applyFill="1" applyBorder="1"/>
    <xf numFmtId="0" fontId="4" fillId="6" borderId="13" xfId="0" applyFont="1" applyFill="1" applyBorder="1"/>
    <xf numFmtId="0" fontId="4" fillId="6" borderId="97" xfId="0" applyFont="1" applyFill="1" applyBorder="1" applyAlignment="1">
      <alignment vertical="center"/>
    </xf>
    <xf numFmtId="0" fontId="4" fillId="6" borderId="98" xfId="0" applyFont="1" applyFill="1" applyBorder="1" applyAlignment="1">
      <alignment vertical="center"/>
    </xf>
    <xf numFmtId="0" fontId="4" fillId="6" borderId="99" xfId="0" applyFont="1" applyFill="1" applyBorder="1" applyAlignment="1">
      <alignment vertical="center"/>
    </xf>
    <xf numFmtId="0" fontId="4" fillId="6" borderId="9" xfId="0" applyFont="1" applyFill="1" applyBorder="1" applyAlignment="1">
      <alignment vertical="center"/>
    </xf>
    <xf numFmtId="0" fontId="4" fillId="6" borderId="95" xfId="0" applyFont="1" applyFill="1" applyBorder="1" applyAlignment="1">
      <alignment horizontal="center" vertical="center"/>
    </xf>
    <xf numFmtId="0" fontId="4" fillId="6" borderId="94" xfId="0" applyFont="1" applyFill="1" applyBorder="1" applyAlignment="1">
      <alignment horizontal="center" vertical="center"/>
    </xf>
    <xf numFmtId="0" fontId="4" fillId="0" borderId="15" xfId="0" applyFont="1" applyBorder="1" applyAlignment="1">
      <alignment horizontal="center"/>
    </xf>
    <xf numFmtId="0" fontId="4" fillId="0" borderId="62" xfId="0" applyFont="1" applyBorder="1" applyAlignment="1">
      <alignment horizontal="center"/>
    </xf>
    <xf numFmtId="0" fontId="4" fillId="0" borderId="20" xfId="0" applyFont="1" applyBorder="1" applyAlignment="1">
      <alignment horizontal="center"/>
    </xf>
    <xf numFmtId="0" fontId="4" fillId="0" borderId="59" xfId="0" applyFont="1" applyBorder="1" applyAlignment="1">
      <alignment horizontal="center"/>
    </xf>
    <xf numFmtId="0" fontId="1" fillId="0" borderId="0" xfId="0" applyFont="1" applyAlignment="1">
      <alignment horizontal="center" vertical="center"/>
    </xf>
    <xf numFmtId="0" fontId="1" fillId="0" borderId="62" xfId="0" applyFont="1" applyBorder="1" applyAlignment="1">
      <alignment horizontal="center" vertical="center"/>
    </xf>
    <xf numFmtId="0" fontId="1" fillId="0" borderId="20" xfId="0" applyFont="1" applyBorder="1" applyAlignment="1">
      <alignment horizontal="center" vertical="center"/>
    </xf>
    <xf numFmtId="0" fontId="1" fillId="0" borderId="59" xfId="0" applyFont="1" applyBorder="1" applyAlignment="1">
      <alignment horizontal="center" vertical="center"/>
    </xf>
    <xf numFmtId="178" fontId="19" fillId="9" borderId="19" xfId="0" applyNumberFormat="1" applyFont="1" applyFill="1" applyBorder="1" applyAlignment="1">
      <alignment horizontal="center" vertical="center"/>
    </xf>
    <xf numFmtId="178" fontId="4" fillId="8" borderId="0" xfId="0" applyNumberFormat="1" applyFont="1" applyFill="1" applyAlignment="1">
      <alignment horizontal="center"/>
    </xf>
    <xf numFmtId="178" fontId="4" fillId="8" borderId="19" xfId="0" applyNumberFormat="1" applyFont="1" applyFill="1" applyBorder="1" applyAlignment="1">
      <alignment horizontal="center"/>
    </xf>
    <xf numFmtId="178" fontId="0" fillId="0" borderId="0" xfId="0" applyNumberFormat="1"/>
    <xf numFmtId="1" fontId="4" fillId="5" borderId="0" xfId="0" applyNumberFormat="1" applyFont="1" applyFill="1" applyAlignment="1">
      <alignment horizontal="left"/>
    </xf>
    <xf numFmtId="1" fontId="0" fillId="5" borderId="0" xfId="0" applyNumberFormat="1" applyFill="1" applyAlignment="1">
      <alignment horizontal="left"/>
    </xf>
    <xf numFmtId="0" fontId="4" fillId="5" borderId="0" xfId="0" applyFont="1" applyFill="1" applyAlignment="1">
      <alignment horizontal="center"/>
    </xf>
    <xf numFmtId="1" fontId="0" fillId="5" borderId="0" xfId="0" applyNumberFormat="1" applyFill="1" applyAlignment="1">
      <alignment horizontal="center"/>
    </xf>
    <xf numFmtId="0" fontId="65" fillId="8" borderId="0" xfId="0" applyFont="1" applyFill="1" applyAlignment="1">
      <alignment horizontal="left" vertical="center"/>
    </xf>
    <xf numFmtId="0" fontId="66" fillId="8" borderId="0" xfId="0" applyFont="1" applyFill="1" applyAlignment="1">
      <alignment horizontal="center" vertical="center"/>
    </xf>
    <xf numFmtId="0" fontId="4" fillId="8" borderId="16" xfId="0" applyFont="1" applyFill="1" applyBorder="1"/>
    <xf numFmtId="0" fontId="4" fillId="8" borderId="14" xfId="0" applyFont="1" applyFill="1" applyBorder="1"/>
    <xf numFmtId="170" fontId="4" fillId="8" borderId="8" xfId="0" applyNumberFormat="1" applyFont="1" applyFill="1" applyBorder="1"/>
    <xf numFmtId="0" fontId="4" fillId="8" borderId="14" xfId="0" applyFont="1" applyFill="1" applyBorder="1" applyAlignment="1">
      <alignment horizontal="center"/>
    </xf>
    <xf numFmtId="2" fontId="4" fillId="8" borderId="14" xfId="0" applyNumberFormat="1" applyFont="1" applyFill="1" applyBorder="1" applyAlignment="1">
      <alignment horizontal="center"/>
    </xf>
    <xf numFmtId="0" fontId="19" fillId="9" borderId="0" xfId="0" applyFont="1" applyFill="1" applyAlignment="1">
      <alignment vertical="center"/>
    </xf>
    <xf numFmtId="0" fontId="24" fillId="11" borderId="14" xfId="0" applyFont="1" applyFill="1" applyBorder="1" applyAlignment="1">
      <alignment horizontal="center"/>
    </xf>
    <xf numFmtId="179" fontId="20" fillId="8" borderId="0" xfId="0" applyNumberFormat="1" applyFont="1" applyFill="1" applyAlignment="1">
      <alignment horizontal="left" vertical="center"/>
    </xf>
    <xf numFmtId="179" fontId="0" fillId="8" borderId="0" xfId="0" applyNumberFormat="1" applyFill="1" applyAlignment="1">
      <alignment horizontal="left" vertical="center"/>
    </xf>
    <xf numFmtId="179" fontId="0" fillId="0" borderId="0" xfId="0" applyNumberFormat="1" applyAlignment="1">
      <alignment horizontal="left" vertical="center"/>
    </xf>
    <xf numFmtId="0" fontId="19" fillId="9" borderId="0" xfId="0" quotePrefix="1" applyFont="1" applyFill="1" applyAlignment="1">
      <alignment horizontal="left"/>
    </xf>
    <xf numFmtId="0" fontId="19" fillId="9" borderId="66" xfId="0" applyFont="1" applyFill="1" applyBorder="1" applyAlignment="1">
      <alignment vertical="center"/>
    </xf>
    <xf numFmtId="0" fontId="0" fillId="8" borderId="0" xfId="0" applyFill="1" applyAlignment="1">
      <alignment horizontal="left" vertical="center"/>
    </xf>
    <xf numFmtId="0" fontId="19" fillId="9" borderId="14" xfId="0" applyFont="1" applyFill="1" applyBorder="1" applyAlignment="1">
      <alignment horizontal="left" vertical="center"/>
    </xf>
    <xf numFmtId="0" fontId="4" fillId="8" borderId="0" xfId="0" applyFont="1" applyFill="1" applyAlignment="1">
      <alignment vertical="center"/>
    </xf>
    <xf numFmtId="16" fontId="24" fillId="8" borderId="0" xfId="0" applyNumberFormat="1" applyFont="1" applyFill="1" applyAlignment="1">
      <alignment horizontal="left" vertical="center"/>
    </xf>
    <xf numFmtId="0" fontId="7" fillId="8" borderId="0" xfId="0" applyFont="1" applyFill="1" applyAlignment="1">
      <alignment vertical="center"/>
    </xf>
    <xf numFmtId="0" fontId="7" fillId="8" borderId="0" xfId="0" applyFont="1" applyFill="1" applyAlignment="1">
      <alignment horizontal="center" vertical="center"/>
    </xf>
    <xf numFmtId="0" fontId="0" fillId="8" borderId="0" xfId="0" applyFill="1" applyAlignment="1">
      <alignment horizontal="center" vertical="center"/>
    </xf>
    <xf numFmtId="180" fontId="18" fillId="9" borderId="66" xfId="0" applyNumberFormat="1" applyFont="1" applyFill="1" applyBorder="1" applyAlignment="1">
      <alignment horizontal="center" vertical="center"/>
    </xf>
    <xf numFmtId="174" fontId="24" fillId="8" borderId="14" xfId="0" applyNumberFormat="1" applyFont="1" applyFill="1" applyBorder="1" applyAlignment="1">
      <alignment horizontal="left" vertical="center"/>
    </xf>
    <xf numFmtId="180" fontId="18" fillId="9" borderId="14" xfId="0" applyNumberFormat="1" applyFont="1" applyFill="1" applyBorder="1" applyAlignment="1">
      <alignment horizontal="center" vertical="center"/>
    </xf>
    <xf numFmtId="0" fontId="30" fillId="9" borderId="0" xfId="0" applyFont="1" applyFill="1" applyAlignment="1">
      <alignment horizontal="left" vertical="center"/>
    </xf>
    <xf numFmtId="0" fontId="52" fillId="8" borderId="14" xfId="0" applyFont="1" applyFill="1" applyBorder="1" applyAlignment="1">
      <alignment vertical="center"/>
    </xf>
    <xf numFmtId="0" fontId="4" fillId="18" borderId="14" xfId="0" applyFont="1" applyFill="1" applyBorder="1" applyAlignment="1">
      <alignment horizontal="center" vertical="center"/>
    </xf>
    <xf numFmtId="0" fontId="4" fillId="11" borderId="14" xfId="0" applyFont="1" applyFill="1" applyBorder="1" applyAlignment="1">
      <alignment horizontal="center" vertical="center"/>
    </xf>
    <xf numFmtId="0" fontId="4" fillId="8" borderId="1" xfId="0" applyFont="1" applyFill="1" applyBorder="1" applyAlignment="1">
      <alignment horizontal="center"/>
    </xf>
    <xf numFmtId="40" fontId="18" fillId="9" borderId="103" xfId="0" applyNumberFormat="1" applyFont="1" applyFill="1" applyBorder="1" applyAlignment="1">
      <alignment horizontal="right" wrapText="1"/>
    </xf>
    <xf numFmtId="8" fontId="0" fillId="0" borderId="103" xfId="0" applyNumberFormat="1" applyBorder="1" applyAlignment="1">
      <alignment horizontal="right"/>
    </xf>
    <xf numFmtId="8" fontId="0" fillId="0" borderId="104" xfId="0" applyNumberFormat="1" applyBorder="1" applyAlignment="1">
      <alignment horizontal="right"/>
    </xf>
    <xf numFmtId="8" fontId="0" fillId="0" borderId="105" xfId="0" applyNumberFormat="1" applyBorder="1" applyAlignment="1">
      <alignment horizontal="right"/>
    </xf>
    <xf numFmtId="8" fontId="4" fillId="0" borderId="106" xfId="0" applyNumberFormat="1" applyFont="1" applyBorder="1" applyAlignment="1">
      <alignment horizontal="right"/>
    </xf>
    <xf numFmtId="8" fontId="0" fillId="0" borderId="107" xfId="0" applyNumberFormat="1" applyBorder="1" applyAlignment="1">
      <alignment horizontal="right"/>
    </xf>
    <xf numFmtId="8" fontId="4" fillId="0" borderId="104" xfId="0" applyNumberFormat="1" applyFont="1" applyBorder="1" applyAlignment="1">
      <alignment horizontal="right"/>
    </xf>
    <xf numFmtId="8" fontId="0" fillId="0" borderId="106" xfId="0" applyNumberFormat="1" applyBorder="1" applyAlignment="1">
      <alignment horizontal="right"/>
    </xf>
    <xf numFmtId="177" fontId="4" fillId="0" borderId="14" xfId="0" applyNumberFormat="1" applyFont="1" applyBorder="1" applyAlignment="1">
      <alignment horizontal="left" vertical="center"/>
    </xf>
    <xf numFmtId="1" fontId="4" fillId="0" borderId="14" xfId="0" applyNumberFormat="1" applyFont="1" applyBorder="1" applyAlignment="1">
      <alignment horizontal="center" vertical="center" shrinkToFit="1"/>
    </xf>
    <xf numFmtId="0" fontId="4" fillId="0" borderId="14" xfId="0" applyFont="1" applyBorder="1" applyAlignment="1">
      <alignment horizontal="center" vertical="center"/>
    </xf>
    <xf numFmtId="1" fontId="4" fillId="0" borderId="14" xfId="0" quotePrefix="1" applyNumberFormat="1" applyFont="1" applyBorder="1" applyAlignment="1">
      <alignment horizontal="center" vertical="center" shrinkToFit="1"/>
    </xf>
    <xf numFmtId="0" fontId="4" fillId="0" borderId="14" xfId="0" applyFont="1" applyBorder="1" applyAlignment="1">
      <alignment horizontal="center" vertical="center" wrapText="1"/>
    </xf>
    <xf numFmtId="49" fontId="56" fillId="9" borderId="0" xfId="0" quotePrefix="1" applyNumberFormat="1" applyFont="1" applyFill="1" applyAlignment="1">
      <alignment horizontal="left" vertical="center"/>
    </xf>
    <xf numFmtId="0" fontId="1" fillId="6" borderId="96" xfId="0" applyFont="1" applyFill="1" applyBorder="1" applyAlignment="1">
      <alignment horizontal="left"/>
    </xf>
    <xf numFmtId="0" fontId="57" fillId="9" borderId="0" xfId="0" applyFont="1" applyFill="1" applyAlignment="1">
      <alignment horizontal="center" vertical="center" textRotation="90"/>
    </xf>
    <xf numFmtId="0" fontId="54" fillId="0" borderId="14" xfId="0" applyFont="1" applyBorder="1" applyAlignment="1">
      <alignment horizontal="center" vertical="center" shrinkToFit="1"/>
    </xf>
    <xf numFmtId="0" fontId="54" fillId="0" borderId="67" xfId="0" applyFont="1" applyBorder="1" applyAlignment="1">
      <alignment horizontal="center" vertical="center" shrinkToFit="1"/>
    </xf>
    <xf numFmtId="0" fontId="54" fillId="0" borderId="14" xfId="0" quotePrefix="1" applyFont="1" applyBorder="1" applyAlignment="1">
      <alignment horizontal="center" vertical="center" shrinkToFit="1"/>
    </xf>
    <xf numFmtId="0" fontId="4" fillId="2" borderId="41" xfId="0" applyFont="1" applyFill="1" applyBorder="1" applyAlignment="1">
      <alignment horizontal="left" vertical="center"/>
    </xf>
    <xf numFmtId="2" fontId="4" fillId="0" borderId="11" xfId="0" applyNumberFormat="1" applyFont="1" applyBorder="1"/>
    <xf numFmtId="170" fontId="4" fillId="0" borderId="5" xfId="0" applyNumberFormat="1" applyFont="1" applyBorder="1"/>
    <xf numFmtId="180" fontId="18" fillId="9" borderId="108" xfId="0" applyNumberFormat="1" applyFont="1" applyFill="1" applyBorder="1" applyAlignment="1">
      <alignment horizontal="center" vertical="center"/>
    </xf>
    <xf numFmtId="16" fontId="24" fillId="8" borderId="108" xfId="0" applyNumberFormat="1" applyFont="1" applyFill="1" applyBorder="1" applyAlignment="1">
      <alignment horizontal="left" vertical="center"/>
    </xf>
    <xf numFmtId="16" fontId="24" fillId="8" borderId="14" xfId="0" applyNumberFormat="1" applyFont="1" applyFill="1" applyBorder="1" applyAlignment="1">
      <alignment horizontal="left" vertical="center"/>
    </xf>
    <xf numFmtId="0" fontId="4" fillId="0" borderId="11" xfId="0" applyFont="1" applyBorder="1"/>
    <xf numFmtId="170" fontId="4" fillId="8" borderId="5" xfId="0" applyNumberFormat="1" applyFont="1" applyFill="1" applyBorder="1"/>
    <xf numFmtId="0" fontId="4" fillId="8" borderId="14" xfId="0" applyFont="1" applyFill="1" applyBorder="1" applyAlignment="1">
      <alignment vertical="center"/>
    </xf>
    <xf numFmtId="0" fontId="18" fillId="9" borderId="108" xfId="0" applyFont="1" applyFill="1" applyBorder="1" applyAlignment="1">
      <alignment horizontal="center" vertical="center"/>
    </xf>
    <xf numFmtId="177" fontId="4" fillId="0" borderId="14" xfId="0" applyNumberFormat="1" applyFont="1" applyBorder="1" applyAlignment="1">
      <alignment horizontal="center" vertical="center"/>
    </xf>
    <xf numFmtId="0" fontId="25" fillId="11" borderId="14"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178" fontId="19" fillId="9" borderId="44" xfId="0" applyNumberFormat="1" applyFont="1" applyFill="1" applyBorder="1" applyAlignment="1">
      <alignment horizontal="center" vertical="top"/>
    </xf>
    <xf numFmtId="178" fontId="4" fillId="0" borderId="0" xfId="0" applyNumberFormat="1" applyFont="1" applyAlignment="1">
      <alignment horizontal="center"/>
    </xf>
    <xf numFmtId="3" fontId="1" fillId="0" borderId="10" xfId="0" applyNumberFormat="1" applyFont="1" applyBorder="1"/>
    <xf numFmtId="0" fontId="24" fillId="8" borderId="0" xfId="0" applyFont="1" applyFill="1" applyAlignment="1">
      <alignment horizontal="left"/>
    </xf>
    <xf numFmtId="16" fontId="38" fillId="8" borderId="21" xfId="0" quotePrefix="1" applyNumberFormat="1" applyFont="1" applyFill="1" applyBorder="1" applyAlignment="1">
      <alignment horizontal="center" vertical="center" shrinkToFit="1"/>
    </xf>
    <xf numFmtId="0" fontId="20" fillId="8" borderId="21" xfId="0" applyFont="1" applyFill="1" applyBorder="1" applyAlignment="1">
      <alignment horizontal="center" vertical="center" shrinkToFit="1"/>
    </xf>
    <xf numFmtId="0" fontId="4" fillId="8" borderId="10" xfId="0" applyFont="1" applyFill="1" applyBorder="1"/>
    <xf numFmtId="0" fontId="4" fillId="2" borderId="36" xfId="0" applyFont="1" applyFill="1" applyBorder="1" applyAlignment="1">
      <alignment horizontal="left" vertical="center"/>
    </xf>
    <xf numFmtId="0" fontId="24" fillId="11" borderId="0" xfId="0" applyFont="1" applyFill="1" applyAlignment="1">
      <alignment horizontal="center" vertical="center"/>
    </xf>
    <xf numFmtId="0" fontId="24" fillId="11" borderId="0" xfId="0" applyFont="1" applyFill="1" applyAlignment="1">
      <alignment horizontal="center"/>
    </xf>
    <xf numFmtId="0" fontId="24" fillId="11" borderId="0" xfId="0" applyFont="1" applyFill="1" applyAlignment="1">
      <alignment horizontal="left" vertical="center" wrapText="1"/>
    </xf>
    <xf numFmtId="0" fontId="62" fillId="8" borderId="22" xfId="0" applyFont="1" applyFill="1" applyBorder="1" applyAlignment="1">
      <alignment horizontal="center" vertical="center" shrinkToFit="1"/>
    </xf>
    <xf numFmtId="0" fontId="1" fillId="6" borderId="100" xfId="0" applyFont="1" applyFill="1" applyBorder="1" applyAlignment="1">
      <alignment horizontal="center" vertical="center"/>
    </xf>
    <xf numFmtId="0" fontId="1" fillId="6" borderId="100" xfId="0" applyFont="1" applyFill="1" applyBorder="1" applyAlignment="1">
      <alignment horizontal="center" vertical="center" wrapText="1"/>
    </xf>
    <xf numFmtId="0" fontId="0" fillId="0" borderId="50" xfId="0" applyBorder="1" applyAlignment="1">
      <alignment horizontal="center"/>
    </xf>
    <xf numFmtId="16" fontId="18" fillId="9" borderId="0" xfId="0" applyNumberFormat="1" applyFont="1" applyFill="1" applyAlignment="1">
      <alignment horizontal="left"/>
    </xf>
    <xf numFmtId="170" fontId="19" fillId="9" borderId="0" xfId="0" applyNumberFormat="1" applyFont="1" applyFill="1"/>
    <xf numFmtId="2" fontId="4" fillId="23" borderId="23" xfId="0" applyNumberFormat="1" applyFont="1" applyFill="1" applyBorder="1" applyAlignment="1">
      <alignment horizontal="left" vertical="center"/>
    </xf>
    <xf numFmtId="0" fontId="4" fillId="23" borderId="24" xfId="0" applyFont="1" applyFill="1" applyBorder="1" applyAlignment="1">
      <alignment horizontal="left" vertical="center"/>
    </xf>
    <xf numFmtId="178" fontId="4" fillId="23" borderId="25" xfId="0" applyNumberFormat="1" applyFont="1" applyFill="1" applyBorder="1" applyAlignment="1">
      <alignment horizontal="center" vertical="center"/>
    </xf>
    <xf numFmtId="2" fontId="4" fillId="23" borderId="26" xfId="0" applyNumberFormat="1" applyFont="1" applyFill="1" applyBorder="1" applyAlignment="1">
      <alignment horizontal="center" vertical="center"/>
    </xf>
    <xf numFmtId="0" fontId="1" fillId="23" borderId="27" xfId="0" applyFont="1" applyFill="1" applyBorder="1" applyAlignment="1">
      <alignment horizontal="center" vertical="center"/>
    </xf>
    <xf numFmtId="170" fontId="1" fillId="23" borderId="28" xfId="0" applyNumberFormat="1" applyFont="1" applyFill="1" applyBorder="1" applyAlignment="1">
      <alignment vertical="center"/>
    </xf>
    <xf numFmtId="2" fontId="4" fillId="23" borderId="18" xfId="0" applyNumberFormat="1" applyFont="1" applyFill="1" applyBorder="1" applyAlignment="1">
      <alignment vertical="center"/>
    </xf>
    <xf numFmtId="2" fontId="67" fillId="23" borderId="50" xfId="0" applyNumberFormat="1" applyFont="1" applyFill="1" applyBorder="1" applyAlignment="1">
      <alignment horizontal="left" vertical="center"/>
    </xf>
    <xf numFmtId="0" fontId="4" fillId="23" borderId="29" xfId="0" applyFont="1" applyFill="1" applyBorder="1" applyAlignment="1">
      <alignment horizontal="left" vertical="center"/>
    </xf>
    <xf numFmtId="2" fontId="4" fillId="23" borderId="25" xfId="0" applyNumberFormat="1" applyFont="1" applyFill="1" applyBorder="1" applyAlignment="1">
      <alignment horizontal="center" vertical="center"/>
    </xf>
    <xf numFmtId="0" fontId="1" fillId="23" borderId="30" xfId="0" applyFont="1" applyFill="1" applyBorder="1" applyAlignment="1">
      <alignment horizontal="center" vertical="center"/>
    </xf>
    <xf numFmtId="170" fontId="1" fillId="23" borderId="0" xfId="0" applyNumberFormat="1" applyFont="1" applyFill="1" applyAlignment="1">
      <alignment horizontal="center" vertical="center"/>
    </xf>
    <xf numFmtId="0" fontId="4" fillId="23" borderId="31" xfId="0" applyFont="1" applyFill="1" applyBorder="1" applyAlignment="1">
      <alignment horizontal="center" vertical="center"/>
    </xf>
    <xf numFmtId="2" fontId="67" fillId="23" borderId="51" xfId="0" applyNumberFormat="1" applyFont="1" applyFill="1" applyBorder="1" applyAlignment="1">
      <alignment horizontal="left" vertical="center"/>
    </xf>
    <xf numFmtId="0" fontId="4" fillId="23" borderId="32" xfId="0" applyFont="1" applyFill="1" applyBorder="1" applyAlignment="1">
      <alignment horizontal="left" vertical="center"/>
    </xf>
    <xf numFmtId="178" fontId="4" fillId="23" borderId="33" xfId="0" applyNumberFormat="1" applyFont="1" applyFill="1" applyBorder="1" applyAlignment="1">
      <alignment horizontal="center" vertical="center"/>
    </xf>
    <xf numFmtId="2" fontId="4" fillId="23" borderId="33" xfId="0" applyNumberFormat="1" applyFont="1" applyFill="1" applyBorder="1" applyAlignment="1">
      <alignment horizontal="center" vertical="center"/>
    </xf>
    <xf numFmtId="0" fontId="1" fillId="23" borderId="101" xfId="0" applyFont="1" applyFill="1" applyBorder="1" applyAlignment="1">
      <alignment horizontal="center" vertical="center"/>
    </xf>
    <xf numFmtId="170" fontId="1" fillId="23" borderId="19" xfId="0" applyNumberFormat="1" applyFont="1" applyFill="1" applyBorder="1" applyAlignment="1">
      <alignment horizontal="center" vertical="center"/>
    </xf>
    <xf numFmtId="0" fontId="4" fillId="23" borderId="102" xfId="0" applyFont="1" applyFill="1" applyBorder="1" applyAlignment="1">
      <alignment horizontal="center" vertical="center"/>
    </xf>
    <xf numFmtId="0" fontId="4" fillId="23" borderId="34" xfId="0" applyFont="1" applyFill="1" applyBorder="1" applyAlignment="1">
      <alignment horizontal="center" vertical="center"/>
    </xf>
    <xf numFmtId="175" fontId="4" fillId="23" borderId="35" xfId="0" applyNumberFormat="1" applyFont="1" applyFill="1" applyBorder="1" applyAlignment="1">
      <alignment horizontal="center" vertical="center"/>
    </xf>
    <xf numFmtId="0" fontId="4" fillId="23" borderId="36" xfId="0" applyFont="1" applyFill="1" applyBorder="1" applyAlignment="1">
      <alignment horizontal="center" vertical="center"/>
    </xf>
    <xf numFmtId="2" fontId="4" fillId="23" borderId="36" xfId="0" applyNumberFormat="1" applyFont="1" applyFill="1" applyBorder="1" applyAlignment="1">
      <alignment horizontal="center" vertical="center"/>
    </xf>
    <xf numFmtId="0" fontId="4" fillId="23" borderId="37" xfId="0" applyFont="1" applyFill="1" applyBorder="1" applyAlignment="1">
      <alignment horizontal="center" vertical="center"/>
    </xf>
    <xf numFmtId="175" fontId="4" fillId="23" borderId="38" xfId="0" applyNumberFormat="1" applyFont="1" applyFill="1" applyBorder="1" applyAlignment="1">
      <alignment horizontal="center" vertical="center"/>
    </xf>
    <xf numFmtId="0" fontId="4" fillId="23" borderId="39" xfId="0" applyFont="1" applyFill="1" applyBorder="1" applyAlignment="1">
      <alignment horizontal="center" vertical="center"/>
    </xf>
    <xf numFmtId="175" fontId="4" fillId="23" borderId="40" xfId="0" applyNumberFormat="1" applyFont="1" applyFill="1" applyBorder="1" applyAlignment="1">
      <alignment horizontal="center" vertical="center"/>
    </xf>
    <xf numFmtId="2" fontId="4" fillId="23" borderId="41" xfId="0" applyNumberFormat="1" applyFont="1" applyFill="1" applyBorder="1" applyAlignment="1">
      <alignment horizontal="center" vertical="center"/>
    </xf>
    <xf numFmtId="0" fontId="4" fillId="23" borderId="42" xfId="0" applyFont="1" applyFill="1" applyBorder="1" applyAlignment="1">
      <alignment horizontal="center" vertical="center"/>
    </xf>
    <xf numFmtId="0" fontId="1" fillId="23" borderId="48" xfId="0" applyFont="1" applyFill="1" applyBorder="1" applyAlignment="1">
      <alignment horizontal="center" vertical="center"/>
    </xf>
    <xf numFmtId="175" fontId="1" fillId="23" borderId="49" xfId="0" applyNumberFormat="1" applyFont="1" applyFill="1" applyBorder="1" applyAlignment="1">
      <alignment horizontal="center" vertical="center"/>
    </xf>
    <xf numFmtId="0" fontId="1" fillId="23" borderId="47" xfId="0" applyFont="1" applyFill="1" applyBorder="1" applyAlignment="1">
      <alignment horizontal="center" vertical="center"/>
    </xf>
    <xf numFmtId="170" fontId="0" fillId="0" borderId="63" xfId="0" applyNumberFormat="1" applyBorder="1" applyAlignment="1">
      <alignment horizontal="center"/>
    </xf>
    <xf numFmtId="1" fontId="0" fillId="0" borderId="62" xfId="0" applyNumberFormat="1" applyBorder="1" applyAlignment="1">
      <alignment horizontal="center"/>
    </xf>
    <xf numFmtId="170" fontId="0" fillId="0" borderId="62" xfId="0" applyNumberFormat="1" applyBorder="1" applyAlignment="1">
      <alignment horizontal="center"/>
    </xf>
    <xf numFmtId="1" fontId="0" fillId="0" borderId="64" xfId="0" applyNumberFormat="1" applyBorder="1" applyAlignment="1">
      <alignment horizontal="center"/>
    </xf>
    <xf numFmtId="0" fontId="65" fillId="8" borderId="0" xfId="0" applyFont="1" applyFill="1" applyAlignment="1">
      <alignment horizontal="center" vertical="center" wrapText="1"/>
    </xf>
    <xf numFmtId="0" fontId="65" fillId="8" borderId="0" xfId="0" applyFont="1" applyFill="1" applyAlignment="1">
      <alignment horizontal="center"/>
    </xf>
    <xf numFmtId="0" fontId="0" fillId="0" borderId="109" xfId="0" applyBorder="1"/>
    <xf numFmtId="1" fontId="19" fillId="9" borderId="43" xfId="0" applyNumberFormat="1" applyFont="1" applyFill="1" applyBorder="1" applyAlignment="1">
      <alignment horizontal="left" vertical="top"/>
    </xf>
    <xf numFmtId="1" fontId="4" fillId="23" borderId="23" xfId="0" applyNumberFormat="1" applyFont="1" applyFill="1" applyBorder="1" applyAlignment="1">
      <alignment horizontal="left" vertical="center"/>
    </xf>
    <xf numFmtId="1" fontId="67" fillId="23" borderId="50" xfId="0" applyNumberFormat="1" applyFont="1" applyFill="1" applyBorder="1" applyAlignment="1">
      <alignment horizontal="left" vertical="center"/>
    </xf>
    <xf numFmtId="1" fontId="67" fillId="23" borderId="51" xfId="0" applyNumberFormat="1" applyFont="1" applyFill="1" applyBorder="1" applyAlignment="1">
      <alignment horizontal="left" vertical="center"/>
    </xf>
    <xf numFmtId="170" fontId="19" fillId="9" borderId="43" xfId="0" applyNumberFormat="1" applyFont="1" applyFill="1" applyBorder="1" applyAlignment="1">
      <alignment horizontal="center" vertical="top" wrapText="1"/>
    </xf>
    <xf numFmtId="170" fontId="4" fillId="23" borderId="23" xfId="0" applyNumberFormat="1" applyFont="1" applyFill="1" applyBorder="1" applyAlignment="1">
      <alignment horizontal="center" vertical="center"/>
    </xf>
    <xf numFmtId="170" fontId="67" fillId="23" borderId="50" xfId="0" applyNumberFormat="1" applyFont="1" applyFill="1" applyBorder="1" applyAlignment="1">
      <alignment horizontal="center" vertical="center"/>
    </xf>
    <xf numFmtId="170" fontId="67" fillId="23" borderId="51" xfId="0" applyNumberFormat="1" applyFont="1" applyFill="1" applyBorder="1" applyAlignment="1">
      <alignment horizontal="center" vertical="center"/>
    </xf>
    <xf numFmtId="170" fontId="18" fillId="24" borderId="15" xfId="0" applyNumberFormat="1" applyFont="1" applyFill="1" applyBorder="1" applyAlignment="1">
      <alignment horizontal="right" wrapText="1"/>
    </xf>
    <xf numFmtId="170" fontId="18" fillId="24" borderId="103" xfId="0" applyNumberFormat="1" applyFont="1" applyFill="1" applyBorder="1" applyAlignment="1">
      <alignment horizontal="right" wrapText="1"/>
    </xf>
    <xf numFmtId="170" fontId="0" fillId="0" borderId="15" xfId="0" applyNumberFormat="1" applyBorder="1" applyAlignment="1">
      <alignment horizontal="right"/>
    </xf>
    <xf numFmtId="170" fontId="0" fillId="0" borderId="103" xfId="0" applyNumberFormat="1" applyBorder="1" applyAlignment="1">
      <alignment horizontal="right"/>
    </xf>
    <xf numFmtId="170" fontId="0" fillId="0" borderId="0" xfId="0" applyNumberFormat="1" applyAlignment="1">
      <alignment horizontal="right"/>
    </xf>
    <xf numFmtId="170" fontId="0" fillId="0" borderId="104" xfId="0" applyNumberFormat="1" applyBorder="1" applyAlignment="1">
      <alignment horizontal="right"/>
    </xf>
    <xf numFmtId="170" fontId="0" fillId="0" borderId="62" xfId="0" applyNumberFormat="1" applyBorder="1" applyAlignment="1">
      <alignment horizontal="right"/>
    </xf>
    <xf numFmtId="170" fontId="0" fillId="0" borderId="105" xfId="0" applyNumberFormat="1" applyBorder="1" applyAlignment="1">
      <alignment horizontal="right"/>
    </xf>
    <xf numFmtId="170" fontId="0" fillId="0" borderId="20" xfId="0" applyNumberFormat="1" applyBorder="1" applyAlignment="1">
      <alignment horizontal="right"/>
    </xf>
    <xf numFmtId="170" fontId="4" fillId="0" borderId="106" xfId="0" applyNumberFormat="1" applyFont="1" applyBorder="1" applyAlignment="1">
      <alignment horizontal="right"/>
    </xf>
    <xf numFmtId="170" fontId="4" fillId="0" borderId="59" xfId="0" applyNumberFormat="1" applyFont="1" applyBorder="1" applyAlignment="1">
      <alignment horizontal="right"/>
    </xf>
    <xf numFmtId="170" fontId="0" fillId="0" borderId="107" xfId="0" applyNumberFormat="1" applyBorder="1" applyAlignment="1">
      <alignment horizontal="right"/>
    </xf>
    <xf numFmtId="170" fontId="4" fillId="0" borderId="104" xfId="0" applyNumberFormat="1" applyFont="1" applyBorder="1" applyAlignment="1">
      <alignment horizontal="right"/>
    </xf>
    <xf numFmtId="170" fontId="4" fillId="0" borderId="20" xfId="0" applyNumberFormat="1" applyFont="1" applyBorder="1" applyAlignment="1">
      <alignment horizontal="right"/>
    </xf>
    <xf numFmtId="170" fontId="0" fillId="0" borderId="106" xfId="0" applyNumberFormat="1" applyBorder="1" applyAlignment="1">
      <alignment horizontal="right"/>
    </xf>
    <xf numFmtId="170" fontId="0" fillId="0" borderId="59" xfId="0" applyNumberFormat="1" applyBorder="1" applyAlignment="1">
      <alignment horizontal="right"/>
    </xf>
    <xf numFmtId="170" fontId="1" fillId="23" borderId="18" xfId="0" applyNumberFormat="1" applyFont="1" applyFill="1" applyBorder="1" applyAlignment="1">
      <alignment vertical="center"/>
    </xf>
    <xf numFmtId="170" fontId="1" fillId="23" borderId="53" xfId="0" applyNumberFormat="1" applyFont="1" applyFill="1" applyBorder="1" applyAlignment="1">
      <alignment horizontal="center" vertical="center"/>
    </xf>
    <xf numFmtId="0" fontId="4" fillId="23" borderId="55" xfId="0" applyFont="1" applyFill="1" applyBorder="1" applyAlignment="1">
      <alignment horizontal="center" vertical="center"/>
    </xf>
    <xf numFmtId="170" fontId="1" fillId="23" borderId="57" xfId="0" applyNumberFormat="1" applyFont="1" applyFill="1" applyBorder="1" applyAlignment="1">
      <alignment horizontal="center" vertical="center"/>
    </xf>
    <xf numFmtId="0" fontId="4" fillId="23" borderId="54" xfId="0" applyFont="1" applyFill="1" applyBorder="1" applyAlignment="1">
      <alignment horizontal="center" vertical="center"/>
    </xf>
    <xf numFmtId="0" fontId="56" fillId="9" borderId="14" xfId="0" applyFont="1" applyFill="1" applyBorder="1" applyAlignment="1">
      <alignment horizontal="center" vertical="center" shrinkToFit="1"/>
    </xf>
    <xf numFmtId="0" fontId="0" fillId="0" borderId="59" xfId="0" applyBorder="1" applyAlignment="1">
      <alignment horizontal="left"/>
    </xf>
    <xf numFmtId="170" fontId="0" fillId="0" borderId="57" xfId="0" applyNumberFormat="1" applyBorder="1" applyAlignment="1">
      <alignment horizontal="center"/>
    </xf>
    <xf numFmtId="1" fontId="0" fillId="0" borderId="15" xfId="0" applyNumberFormat="1" applyBorder="1" applyAlignment="1">
      <alignment horizontal="center"/>
    </xf>
    <xf numFmtId="170" fontId="0" fillId="0" borderId="15" xfId="0" applyNumberFormat="1" applyBorder="1" applyAlignment="1">
      <alignment horizontal="center"/>
    </xf>
    <xf numFmtId="1" fontId="0" fillId="0" borderId="54" xfId="0" applyNumberFormat="1" applyBorder="1" applyAlignment="1">
      <alignment horizontal="center"/>
    </xf>
    <xf numFmtId="49" fontId="4" fillId="3" borderId="0" xfId="0" applyNumberFormat="1" applyFont="1" applyFill="1" applyAlignment="1">
      <alignment horizontal="center"/>
    </xf>
    <xf numFmtId="49" fontId="0" fillId="3" borderId="0" xfId="0" applyNumberFormat="1" applyFill="1" applyAlignment="1">
      <alignment horizontal="center"/>
    </xf>
    <xf numFmtId="181" fontId="0" fillId="0" borderId="0" xfId="0" applyNumberFormat="1" applyAlignment="1">
      <alignment horizontal="left"/>
    </xf>
    <xf numFmtId="0" fontId="0" fillId="0" borderId="69" xfId="0" pivotButton="1" applyBorder="1"/>
    <xf numFmtId="0" fontId="0" fillId="0" borderId="112" xfId="0" applyBorder="1"/>
    <xf numFmtId="0" fontId="0" fillId="0" borderId="114" xfId="0" applyBorder="1"/>
    <xf numFmtId="0" fontId="0" fillId="0" borderId="116" xfId="0" applyBorder="1"/>
    <xf numFmtId="0" fontId="0" fillId="0" borderId="117" xfId="0" applyBorder="1"/>
    <xf numFmtId="0" fontId="4" fillId="23" borderId="41" xfId="0" applyFont="1" applyFill="1" applyBorder="1" applyAlignment="1">
      <alignment horizontal="center" vertical="center"/>
    </xf>
    <xf numFmtId="0" fontId="4" fillId="8" borderId="19" xfId="0" applyFont="1" applyFill="1" applyBorder="1" applyAlignment="1">
      <alignment horizontal="center"/>
    </xf>
    <xf numFmtId="2" fontId="22" fillId="8" borderId="19" xfId="0" applyNumberFormat="1" applyFont="1" applyFill="1" applyBorder="1" applyAlignment="1">
      <alignment horizontal="center"/>
    </xf>
    <xf numFmtId="0" fontId="4" fillId="0" borderId="14" xfId="0" applyFont="1" applyBorder="1" applyAlignment="1">
      <alignment horizontal="center" vertical="center" shrinkToFit="1"/>
    </xf>
    <xf numFmtId="0" fontId="4" fillId="0" borderId="14" xfId="0" quotePrefix="1" applyFont="1" applyBorder="1" applyAlignment="1">
      <alignment horizontal="center" vertical="center" shrinkToFit="1"/>
    </xf>
    <xf numFmtId="0" fontId="69" fillId="8" borderId="80" xfId="0" applyFont="1" applyFill="1" applyBorder="1" applyAlignment="1">
      <alignment vertical="center" shrinkToFit="1"/>
    </xf>
    <xf numFmtId="0" fontId="52" fillId="8" borderId="79" xfId="0" applyFont="1" applyFill="1" applyBorder="1" applyAlignment="1">
      <alignment vertical="center" shrinkToFit="1"/>
    </xf>
    <xf numFmtId="0" fontId="52" fillId="8" borderId="80" xfId="0" applyFont="1" applyFill="1" applyBorder="1" applyAlignment="1">
      <alignment vertical="center" shrinkToFit="1"/>
    </xf>
    <xf numFmtId="0" fontId="52" fillId="8" borderId="110" xfId="0" applyFont="1" applyFill="1" applyBorder="1" applyAlignment="1">
      <alignment vertical="center" shrinkToFit="1"/>
    </xf>
    <xf numFmtId="0" fontId="52" fillId="8" borderId="111" xfId="0" applyFont="1" applyFill="1" applyBorder="1" applyAlignment="1">
      <alignment vertical="center" shrinkToFit="1"/>
    </xf>
    <xf numFmtId="170" fontId="55" fillId="8" borderId="74" xfId="0" applyNumberFormat="1" applyFont="1" applyFill="1" applyBorder="1" applyAlignment="1">
      <alignment vertical="center" shrinkToFit="1"/>
    </xf>
    <xf numFmtId="170" fontId="55" fillId="8" borderId="82" xfId="0" applyNumberFormat="1" applyFont="1" applyFill="1" applyBorder="1" applyAlignment="1">
      <alignment vertical="center" shrinkToFit="1"/>
    </xf>
    <xf numFmtId="0" fontId="19" fillId="8" borderId="0" xfId="0" applyFont="1" applyFill="1"/>
    <xf numFmtId="0" fontId="57" fillId="9" borderId="57" xfId="0" applyFont="1" applyFill="1" applyBorder="1" applyAlignment="1">
      <alignment horizontal="center" vertical="center" textRotation="90"/>
    </xf>
    <xf numFmtId="0" fontId="57" fillId="9" borderId="50" xfId="0" applyFont="1" applyFill="1" applyBorder="1" applyAlignment="1">
      <alignment horizontal="center" vertical="center" textRotation="90"/>
    </xf>
    <xf numFmtId="0" fontId="57" fillId="9" borderId="15" xfId="0" applyFont="1" applyFill="1" applyBorder="1" applyAlignment="1">
      <alignment horizontal="center" vertical="center" textRotation="90"/>
    </xf>
    <xf numFmtId="0" fontId="57" fillId="9" borderId="0" xfId="0" applyFont="1" applyFill="1" applyAlignment="1">
      <alignment horizontal="center" vertical="center" textRotation="90"/>
    </xf>
    <xf numFmtId="0" fontId="4" fillId="8" borderId="3" xfId="0" applyFont="1" applyFill="1" applyBorder="1" applyAlignment="1">
      <alignment horizontal="left" vertical="center"/>
    </xf>
    <xf numFmtId="0" fontId="4" fillId="8" borderId="5" xfId="0" applyFont="1" applyFill="1" applyBorder="1" applyAlignment="1">
      <alignment horizontal="left" vertical="center"/>
    </xf>
    <xf numFmtId="0" fontId="4" fillId="0" borderId="3" xfId="0" applyFont="1" applyBorder="1" applyAlignment="1">
      <alignment horizontal="left" vertical="center"/>
    </xf>
    <xf numFmtId="0" fontId="4" fillId="0" borderId="5" xfId="0" applyFont="1" applyBorder="1" applyAlignment="1">
      <alignment horizontal="left" vertical="center"/>
    </xf>
    <xf numFmtId="0" fontId="4" fillId="8" borderId="3" xfId="0" applyFont="1" applyFill="1" applyBorder="1" applyAlignment="1">
      <alignment horizontal="center" vertical="top"/>
    </xf>
    <xf numFmtId="0" fontId="4" fillId="8" borderId="5" xfId="0" applyFont="1" applyFill="1" applyBorder="1" applyAlignment="1">
      <alignment horizontal="center" vertical="top"/>
    </xf>
    <xf numFmtId="0" fontId="4" fillId="0" borderId="4" xfId="0" applyFont="1" applyBorder="1" applyAlignment="1">
      <alignment horizontal="left" vertical="center"/>
    </xf>
    <xf numFmtId="0" fontId="56" fillId="9" borderId="21" xfId="0" applyFont="1" applyFill="1" applyBorder="1" applyAlignment="1">
      <alignment horizontal="center" vertical="center" shrinkToFit="1"/>
    </xf>
    <xf numFmtId="0" fontId="56" fillId="9" borderId="22" xfId="0" applyFont="1" applyFill="1" applyBorder="1" applyAlignment="1">
      <alignment horizontal="center" vertical="center" shrinkToFit="1"/>
    </xf>
    <xf numFmtId="170" fontId="24" fillId="8" borderId="16" xfId="0" applyNumberFormat="1" applyFont="1" applyFill="1" applyBorder="1" applyAlignment="1">
      <alignment horizontal="center" vertical="center" shrinkToFit="1"/>
    </xf>
    <xf numFmtId="170" fontId="24" fillId="8" borderId="22" xfId="0" applyNumberFormat="1" applyFont="1" applyFill="1" applyBorder="1" applyAlignment="1">
      <alignment horizontal="center" vertical="center" shrinkToFit="1"/>
    </xf>
    <xf numFmtId="0" fontId="56" fillId="9" borderId="21" xfId="0" applyFont="1" applyFill="1" applyBorder="1" applyAlignment="1">
      <alignment horizontal="center" vertical="center"/>
    </xf>
    <xf numFmtId="0" fontId="56" fillId="9" borderId="22" xfId="0" applyFont="1" applyFill="1" applyBorder="1" applyAlignment="1">
      <alignment horizontal="center" vertical="center"/>
    </xf>
    <xf numFmtId="0" fontId="56" fillId="9" borderId="16" xfId="0" applyFont="1" applyFill="1" applyBorder="1" applyAlignment="1">
      <alignment horizontal="left" vertical="center"/>
    </xf>
    <xf numFmtId="0" fontId="56" fillId="9" borderId="21" xfId="0" applyFont="1" applyFill="1" applyBorder="1" applyAlignment="1">
      <alignment horizontal="left" vertical="center"/>
    </xf>
    <xf numFmtId="0" fontId="56" fillId="9" borderId="22" xfId="0" applyFont="1" applyFill="1" applyBorder="1" applyAlignment="1">
      <alignment horizontal="left" vertical="center"/>
    </xf>
    <xf numFmtId="0" fontId="25" fillId="8" borderId="16" xfId="0" quotePrefix="1" applyFont="1" applyFill="1" applyBorder="1" applyAlignment="1">
      <alignment horizontal="center" vertical="center" shrinkToFit="1"/>
    </xf>
    <xf numFmtId="0" fontId="25" fillId="8" borderId="21" xfId="0" applyFont="1" applyFill="1" applyBorder="1" applyAlignment="1">
      <alignment horizontal="center" vertical="center" shrinkToFit="1"/>
    </xf>
    <xf numFmtId="0" fontId="25" fillId="8" borderId="22" xfId="0" applyFont="1" applyFill="1" applyBorder="1" applyAlignment="1">
      <alignment horizontal="center" vertical="center" shrinkToFit="1"/>
    </xf>
    <xf numFmtId="8" fontId="25" fillId="0" borderId="16" xfId="0" applyNumberFormat="1" applyFont="1" applyBorder="1" applyAlignment="1">
      <alignment horizontal="left" vertical="center"/>
    </xf>
    <xf numFmtId="8" fontId="25" fillId="0" borderId="91" xfId="0" applyNumberFormat="1" applyFont="1" applyBorder="1" applyAlignment="1">
      <alignment horizontal="left" vertical="center"/>
    </xf>
    <xf numFmtId="8" fontId="26" fillId="0" borderId="86" xfId="0" applyNumberFormat="1" applyFont="1" applyBorder="1" applyAlignment="1">
      <alignment horizontal="left" vertical="center"/>
    </xf>
    <xf numFmtId="8" fontId="26" fillId="0" borderId="92" xfId="0" applyNumberFormat="1" applyFont="1" applyBorder="1" applyAlignment="1">
      <alignment horizontal="left" vertical="center"/>
    </xf>
    <xf numFmtId="0" fontId="25" fillId="8" borderId="16" xfId="0" applyFont="1" applyFill="1" applyBorder="1" applyAlignment="1">
      <alignment horizontal="center" vertical="center" shrinkToFit="1"/>
    </xf>
    <xf numFmtId="8" fontId="26" fillId="0" borderId="16" xfId="0" applyNumberFormat="1" applyFont="1" applyBorder="1" applyAlignment="1">
      <alignment horizontal="left" vertical="center"/>
    </xf>
    <xf numFmtId="8" fontId="26" fillId="0" borderId="91" xfId="0" applyNumberFormat="1" applyFont="1" applyBorder="1" applyAlignment="1">
      <alignment horizontal="left" vertical="center"/>
    </xf>
    <xf numFmtId="0" fontId="68" fillId="9" borderId="12" xfId="0" applyFont="1" applyFill="1" applyBorder="1" applyAlignment="1">
      <alignment vertical="center"/>
    </xf>
    <xf numFmtId="0" fontId="0" fillId="8" borderId="8" xfId="0" applyFill="1" applyBorder="1" applyAlignment="1">
      <alignment horizontal="center"/>
    </xf>
    <xf numFmtId="0" fontId="26" fillId="8" borderId="16" xfId="0" applyFont="1" applyFill="1" applyBorder="1" applyAlignment="1">
      <alignment horizontal="center" vertical="center"/>
    </xf>
    <xf numFmtId="0" fontId="26" fillId="8" borderId="22" xfId="0" applyFont="1" applyFill="1" applyBorder="1" applyAlignment="1">
      <alignment horizontal="center" vertical="center"/>
    </xf>
    <xf numFmtId="0" fontId="26" fillId="8" borderId="21" xfId="0" applyFont="1" applyFill="1" applyBorder="1" applyAlignment="1">
      <alignment horizontal="center" vertical="center"/>
    </xf>
    <xf numFmtId="0" fontId="56" fillId="9" borderId="16" xfId="0" quotePrefix="1" applyFont="1" applyFill="1" applyBorder="1" applyAlignment="1">
      <alignment horizontal="center" vertical="center" shrinkToFit="1"/>
    </xf>
    <xf numFmtId="0" fontId="56" fillId="9" borderId="22" xfId="0" quotePrefix="1" applyFont="1" applyFill="1" applyBorder="1" applyAlignment="1">
      <alignment horizontal="center" vertical="center" shrinkToFit="1"/>
    </xf>
    <xf numFmtId="0" fontId="56" fillId="9" borderId="16" xfId="0" applyFont="1" applyFill="1" applyBorder="1" applyAlignment="1">
      <alignment horizontal="center" vertical="center"/>
    </xf>
    <xf numFmtId="0" fontId="56" fillId="9" borderId="0" xfId="0" applyFont="1" applyFill="1" applyAlignment="1">
      <alignment horizontal="right" vertical="center"/>
    </xf>
    <xf numFmtId="0" fontId="18" fillId="9" borderId="83" xfId="0" applyFont="1" applyFill="1" applyBorder="1" applyAlignment="1">
      <alignment vertical="center"/>
    </xf>
    <xf numFmtId="0" fontId="18" fillId="9" borderId="84" xfId="0" applyFont="1" applyFill="1" applyBorder="1" applyAlignment="1">
      <alignment vertical="center"/>
    </xf>
    <xf numFmtId="0" fontId="26" fillId="0" borderId="16" xfId="0" applyFont="1" applyBorder="1" applyAlignment="1">
      <alignment horizontal="left" vertical="center" shrinkToFit="1"/>
    </xf>
    <xf numFmtId="0" fontId="26" fillId="0" borderId="91" xfId="0" applyFont="1" applyBorder="1" applyAlignment="1">
      <alignment horizontal="left" vertical="center" shrinkToFit="1"/>
    </xf>
    <xf numFmtId="0" fontId="58" fillId="9" borderId="3" xfId="0" applyFont="1" applyFill="1" applyBorder="1" applyAlignment="1">
      <alignment horizontal="center" vertical="center" textRotation="90"/>
    </xf>
    <xf numFmtId="0" fontId="58" fillId="9" borderId="4" xfId="0" applyFont="1" applyFill="1" applyBorder="1" applyAlignment="1">
      <alignment horizontal="center" vertical="center" textRotation="90"/>
    </xf>
    <xf numFmtId="0" fontId="58" fillId="9" borderId="5" xfId="0" applyFont="1" applyFill="1" applyBorder="1" applyAlignment="1">
      <alignment horizontal="center" vertical="center" textRotation="90"/>
    </xf>
    <xf numFmtId="0" fontId="29" fillId="9" borderId="16" xfId="0" applyFont="1" applyFill="1" applyBorder="1" applyAlignment="1">
      <alignment vertical="center"/>
    </xf>
    <xf numFmtId="0" fontId="29" fillId="9" borderId="21" xfId="0" applyFont="1" applyFill="1" applyBorder="1" applyAlignment="1">
      <alignment vertical="center"/>
    </xf>
    <xf numFmtId="0" fontId="29" fillId="9" borderId="22" xfId="0" applyFont="1" applyFill="1" applyBorder="1" applyAlignment="1">
      <alignment vertical="center"/>
    </xf>
    <xf numFmtId="0" fontId="4" fillId="0" borderId="0" xfId="0" applyFont="1" applyBorder="1" applyAlignment="1">
      <alignment horizontal="center"/>
    </xf>
    <xf numFmtId="0" fontId="0" fillId="0" borderId="0" xfId="0" applyBorder="1" applyAlignment="1">
      <alignment horizontal="left"/>
    </xf>
    <xf numFmtId="0" fontId="4" fillId="0" borderId="0" xfId="0" applyFont="1" applyBorder="1" applyAlignment="1">
      <alignment horizontal="left"/>
    </xf>
    <xf numFmtId="0" fontId="1" fillId="0" borderId="0" xfId="0" applyFont="1" applyBorder="1" applyAlignment="1">
      <alignment horizontal="center" vertical="center"/>
    </xf>
    <xf numFmtId="170" fontId="4" fillId="0" borderId="63" xfId="0" applyNumberFormat="1" applyFont="1" applyBorder="1" applyAlignment="1">
      <alignment horizontal="center"/>
    </xf>
    <xf numFmtId="1" fontId="0" fillId="0" borderId="0" xfId="0" applyNumberFormat="1" applyBorder="1" applyAlignment="1">
      <alignment horizontal="center"/>
    </xf>
    <xf numFmtId="1" fontId="4" fillId="0" borderId="62" xfId="0" applyNumberFormat="1" applyFont="1" applyBorder="1" applyAlignment="1">
      <alignment horizontal="center"/>
    </xf>
    <xf numFmtId="170" fontId="0" fillId="0" borderId="0" xfId="0" applyNumberFormat="1" applyBorder="1" applyAlignment="1">
      <alignment horizontal="center"/>
    </xf>
    <xf numFmtId="170" fontId="4" fillId="0" borderId="62" xfId="0" applyNumberFormat="1" applyFont="1" applyBorder="1" applyAlignment="1">
      <alignment horizontal="center"/>
    </xf>
    <xf numFmtId="1" fontId="4" fillId="0" borderId="64" xfId="0" applyNumberFormat="1" applyFont="1" applyBorder="1" applyAlignment="1">
      <alignment horizontal="center"/>
    </xf>
    <xf numFmtId="0" fontId="0" fillId="0" borderId="112" xfId="0" applyNumberFormat="1" applyBorder="1"/>
    <xf numFmtId="0" fontId="0" fillId="0" borderId="113" xfId="0" applyNumberFormat="1" applyBorder="1"/>
    <xf numFmtId="0" fontId="0" fillId="0" borderId="115" xfId="0" applyNumberFormat="1" applyBorder="1"/>
    <xf numFmtId="0" fontId="0" fillId="0" borderId="69" xfId="0" applyNumberFormat="1" applyBorder="1"/>
    <xf numFmtId="0" fontId="0" fillId="0" borderId="85" xfId="0" applyNumberFormat="1" applyBorder="1"/>
    <xf numFmtId="0" fontId="0" fillId="0" borderId="109" xfId="0" applyNumberFormat="1" applyBorder="1"/>
    <xf numFmtId="0" fontId="0" fillId="0" borderId="0" xfId="0" applyNumberFormat="1"/>
    <xf numFmtId="0" fontId="0" fillId="0" borderId="114" xfId="0" applyNumberFormat="1" applyBorder="1"/>
    <xf numFmtId="0" fontId="0" fillId="0" borderId="118" xfId="0" applyNumberFormat="1" applyBorder="1"/>
    <xf numFmtId="0" fontId="0" fillId="0" borderId="0" xfId="0" applyBorder="1"/>
    <xf numFmtId="8" fontId="24" fillId="0" borderId="5" xfId="0" applyNumberFormat="1" applyFont="1" applyBorder="1" applyAlignment="1">
      <alignment horizontal="left" vertical="center"/>
    </xf>
    <xf numFmtId="8" fontId="24" fillId="0" borderId="87" xfId="0" applyNumberFormat="1" applyFont="1" applyBorder="1" applyAlignment="1">
      <alignment horizontal="left" vertical="center"/>
    </xf>
    <xf numFmtId="8" fontId="24" fillId="0" borderId="93" xfId="0" applyNumberFormat="1" applyFont="1" applyBorder="1" applyAlignment="1">
      <alignment horizontal="left" vertical="center"/>
    </xf>
    <xf numFmtId="0" fontId="52" fillId="0" borderId="90" xfId="0" applyFont="1" applyBorder="1" applyAlignment="1">
      <alignment horizontal="center" vertical="center" shrinkToFit="1"/>
    </xf>
    <xf numFmtId="0" fontId="52" fillId="0" borderId="68" xfId="0" applyFont="1" applyBorder="1" applyAlignment="1">
      <alignment horizontal="center" vertical="center" shrinkToFit="1"/>
    </xf>
    <xf numFmtId="2" fontId="52" fillId="0" borderId="87" xfId="0" applyNumberFormat="1" applyFont="1" applyBorder="1" applyAlignment="1">
      <alignment horizontal="center" vertical="center" shrinkToFit="1"/>
    </xf>
    <xf numFmtId="0" fontId="26" fillId="0" borderId="90" xfId="0" applyFont="1" applyBorder="1" applyAlignment="1">
      <alignment horizontal="center" vertical="center" shrinkToFit="1"/>
    </xf>
    <xf numFmtId="170" fontId="26" fillId="0" borderId="5" xfId="0" applyNumberFormat="1" applyFont="1" applyBorder="1" applyAlignment="1">
      <alignment horizontal="right" vertical="center"/>
    </xf>
  </cellXfs>
  <cellStyles count="2">
    <cellStyle name="Hyperlink" xfId="1" builtinId="8"/>
    <cellStyle name="Normal" xfId="0" builtinId="0"/>
  </cellStyles>
  <dxfs count="353">
    <dxf>
      <fill>
        <patternFill>
          <bgColor rgb="FFFFFF00"/>
        </patternFill>
      </fill>
    </dxf>
    <dxf>
      <fill>
        <patternFill>
          <bgColor rgb="FF92D050"/>
        </patternFill>
      </fill>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strike/>
        <color theme="0" tint="-0.24994659260841701"/>
      </font>
    </dxf>
    <dxf>
      <font>
        <color theme="0"/>
      </font>
    </dxf>
    <dxf>
      <font>
        <color theme="0"/>
      </font>
    </dxf>
    <dxf>
      <font>
        <color theme="9" tint="0.79998168889431442"/>
      </font>
    </dxf>
    <dxf>
      <font>
        <color theme="9" tint="0.79998168889431442"/>
      </font>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rgb="FFFF0000"/>
      </font>
    </dxf>
    <dxf>
      <font>
        <color rgb="FFFF0000"/>
      </font>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rgb="FFFF0000"/>
      </font>
    </dxf>
    <dxf>
      <font>
        <color rgb="FFFF0000"/>
      </font>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rgb="FFFF0000"/>
      </font>
    </dxf>
    <dxf>
      <font>
        <color rgb="FFFF0000"/>
      </font>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rgb="FFFF0000"/>
      </font>
    </dxf>
    <dxf>
      <font>
        <color rgb="FFFF0000"/>
      </font>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theme="0"/>
      </font>
      <fill>
        <patternFill>
          <bgColor theme="1"/>
        </patternFill>
      </fill>
    </dxf>
    <dxf>
      <font>
        <color auto="1"/>
      </font>
      <fill>
        <patternFill>
          <bgColor rgb="FF92D050"/>
        </patternFill>
      </fill>
    </dxf>
    <dxf>
      <font>
        <color auto="1"/>
      </font>
      <fill>
        <patternFill>
          <bgColor rgb="FFFFC000"/>
        </patternFill>
      </fill>
    </dxf>
    <dxf>
      <font>
        <color theme="0"/>
      </font>
      <fill>
        <patternFill>
          <bgColor rgb="FFFF0000"/>
        </patternFill>
      </fill>
    </dxf>
    <dxf>
      <font>
        <color rgb="FFFF0000"/>
      </font>
    </dxf>
    <dxf>
      <font>
        <color rgb="FFFF0000"/>
      </font>
    </dxf>
    <dxf>
      <font>
        <color rgb="FFFF0000"/>
      </font>
    </dxf>
    <dxf>
      <font>
        <color rgb="FFFF0000"/>
      </font>
    </dxf>
    <dxf>
      <font>
        <b/>
        <i val="0"/>
        <color rgb="FFFF0000"/>
      </font>
    </dxf>
    <dxf>
      <font>
        <color rgb="FFFF0000"/>
      </font>
    </dxf>
    <dxf>
      <font>
        <color rgb="FFFF0000"/>
      </font>
    </dxf>
    <dxf>
      <font>
        <b/>
        <i val="0"/>
        <color rgb="FF7030A0"/>
      </font>
      <fill>
        <patternFill>
          <bgColor rgb="FFFFFF00"/>
        </patternFill>
      </fill>
    </dxf>
    <dxf>
      <font>
        <color rgb="FFFF0000"/>
      </font>
    </dxf>
    <dxf>
      <font>
        <color rgb="FFFF0000"/>
      </font>
    </dxf>
  </dxfs>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pivotCacheDefinition" Target="pivotCache/pivotCacheDefinition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pivotCacheDefinition" Target="pivotCache/pivotCacheDefinition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pivotCacheDefinition" Target="pivotCache/pivotCacheDefinition1.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hyperlink" Target="http://www.chrisgriffinsays.co.uk/wp-content/uploads/2012/10/bet2.png" TargetMode="External"/><Relationship Id="rId7" Type="http://schemas.openxmlformats.org/officeDocument/2006/relationships/hyperlink" Target="http://www.chrisgriffinsays.co.uk/wp-content/uploads/2012/10/bet4.png" TargetMode="External"/><Relationship Id="rId2" Type="http://schemas.openxmlformats.org/officeDocument/2006/relationships/image" Target="../media/image4.png"/><Relationship Id="rId1" Type="http://schemas.openxmlformats.org/officeDocument/2006/relationships/hyperlink" Target="http://www.chrisgriffinsays.co.uk/wp-content/uploads/2012/10/bet1.png" TargetMode="External"/><Relationship Id="rId6" Type="http://schemas.openxmlformats.org/officeDocument/2006/relationships/image" Target="../media/image6.png"/><Relationship Id="rId5" Type="http://schemas.openxmlformats.org/officeDocument/2006/relationships/hyperlink" Target="http://www.chrisgriffinsays.co.uk/wp-content/uploads/2012/10/bet3.png" TargetMode="External"/><Relationship Id="rId4" Type="http://schemas.openxmlformats.org/officeDocument/2006/relationships/image" Target="../media/image5.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0</xdr:row>
      <xdr:rowOff>746760</xdr:rowOff>
    </xdr:from>
    <xdr:to>
      <xdr:col>0</xdr:col>
      <xdr:colOff>3284220</xdr:colOff>
      <xdr:row>8</xdr:row>
      <xdr:rowOff>0</xdr:rowOff>
    </xdr:to>
    <xdr:pic>
      <xdr:nvPicPr>
        <xdr:cNvPr id="1637390" name="Picture 2">
          <a:extLst>
            <a:ext uri="{FF2B5EF4-FFF2-40B4-BE49-F238E27FC236}">
              <a16:creationId xmlns:a16="http://schemas.microsoft.com/office/drawing/2014/main" id="{00000000-0008-0000-0000-00000EFC1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060" y="746760"/>
          <a:ext cx="3185160" cy="31089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195792</xdr:colOff>
      <xdr:row>0</xdr:row>
      <xdr:rowOff>137583</xdr:rowOff>
    </xdr:from>
    <xdr:to>
      <xdr:col>2</xdr:col>
      <xdr:colOff>656166</xdr:colOff>
      <xdr:row>0</xdr:row>
      <xdr:rowOff>399521</xdr:rowOff>
    </xdr:to>
    <xdr:sp macro="[0]!ClearPlayers" textlink="">
      <xdr:nvSpPr>
        <xdr:cNvPr id="2" name="Rounded Rectangle 1">
          <a:extLst>
            <a:ext uri="{FF2B5EF4-FFF2-40B4-BE49-F238E27FC236}">
              <a16:creationId xmlns:a16="http://schemas.microsoft.com/office/drawing/2014/main" id="{5B1C8041-7241-4A19-A9D4-8218C86E6C52}"/>
            </a:ext>
          </a:extLst>
        </xdr:cNvPr>
        <xdr:cNvSpPr/>
      </xdr:nvSpPr>
      <xdr:spPr>
        <a:xfrm>
          <a:off x="4820709" y="137583"/>
          <a:ext cx="460374" cy="261938"/>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ctr"/>
        <a:lstStyle/>
        <a:p>
          <a:pPr algn="ctr"/>
          <a:r>
            <a:rPr lang="en-GB" sz="1000" baseline="0">
              <a:solidFill>
                <a:srgbClr val="FFFF00"/>
              </a:solidFill>
              <a:latin typeface="Arial" panose="020B0604020202020204" pitchFamily="34" charset="0"/>
              <a:cs typeface="Arial" panose="020B0604020202020204" pitchFamily="34" charset="0"/>
            </a:rPr>
            <a:t>Clear</a:t>
          </a:r>
          <a:endParaRPr lang="en-GB" sz="1000">
            <a:solidFill>
              <a:srgbClr val="FFFF00"/>
            </a:solidFill>
            <a:latin typeface="Arial" panose="020B0604020202020204" pitchFamily="34" charset="0"/>
            <a:cs typeface="Arial" panose="020B0604020202020204" pitchFamily="34" charset="0"/>
          </a:endParaRPr>
        </a:p>
      </xdr:txBody>
    </xdr:sp>
    <xdr:clientData/>
  </xdr:twoCellAnchor>
  <xdr:twoCellAnchor>
    <xdr:from>
      <xdr:col>2</xdr:col>
      <xdr:colOff>819679</xdr:colOff>
      <xdr:row>0</xdr:row>
      <xdr:rowOff>142875</xdr:rowOff>
    </xdr:from>
    <xdr:to>
      <xdr:col>2</xdr:col>
      <xdr:colOff>1312333</xdr:colOff>
      <xdr:row>0</xdr:row>
      <xdr:rowOff>409575</xdr:rowOff>
    </xdr:to>
    <xdr:sp macro="[0]!SortPlayersDiv" textlink="">
      <xdr:nvSpPr>
        <xdr:cNvPr id="3" name="Rounded Rectangle 1">
          <a:extLst>
            <a:ext uri="{FF2B5EF4-FFF2-40B4-BE49-F238E27FC236}">
              <a16:creationId xmlns:a16="http://schemas.microsoft.com/office/drawing/2014/main" id="{3D030DA4-FA5E-4A23-B7EF-295746A7926D}"/>
            </a:ext>
          </a:extLst>
        </xdr:cNvPr>
        <xdr:cNvSpPr/>
      </xdr:nvSpPr>
      <xdr:spPr>
        <a:xfrm>
          <a:off x="3486679" y="142875"/>
          <a:ext cx="492654" cy="266700"/>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ctr"/>
        <a:lstStyle/>
        <a:p>
          <a:pPr algn="ctr"/>
          <a:r>
            <a:rPr lang="en-GB" sz="1000" baseline="0">
              <a:solidFill>
                <a:srgbClr val="FFFF00"/>
              </a:solidFill>
              <a:latin typeface="Arial" panose="020B0604020202020204" pitchFamily="34" charset="0"/>
              <a:cs typeface="Arial" panose="020B0604020202020204" pitchFamily="34" charset="0"/>
            </a:rPr>
            <a:t>↕Div</a:t>
          </a:r>
          <a:endParaRPr lang="en-GB" sz="1000">
            <a:solidFill>
              <a:srgbClr val="FFFF00"/>
            </a:solidFill>
            <a:latin typeface="Arial" panose="020B0604020202020204" pitchFamily="34" charset="0"/>
            <a:cs typeface="Arial" panose="020B0604020202020204" pitchFamily="34" charset="0"/>
          </a:endParaRPr>
        </a:p>
      </xdr:txBody>
    </xdr:sp>
    <xdr:clientData/>
  </xdr:twoCellAnchor>
  <xdr:twoCellAnchor>
    <xdr:from>
      <xdr:col>2</xdr:col>
      <xdr:colOff>1613429</xdr:colOff>
      <xdr:row>0</xdr:row>
      <xdr:rowOff>157691</xdr:rowOff>
    </xdr:from>
    <xdr:to>
      <xdr:col>2</xdr:col>
      <xdr:colOff>2174345</xdr:colOff>
      <xdr:row>0</xdr:row>
      <xdr:rowOff>424391</xdr:rowOff>
    </xdr:to>
    <xdr:sp macro="[0]!SortPlayersName" textlink="">
      <xdr:nvSpPr>
        <xdr:cNvPr id="5" name="Rounded Rectangle 1">
          <a:extLst>
            <a:ext uri="{FF2B5EF4-FFF2-40B4-BE49-F238E27FC236}">
              <a16:creationId xmlns:a16="http://schemas.microsoft.com/office/drawing/2014/main" id="{EDE7DC3D-CBF2-4B29-A0D5-BFBAE0F37A60}"/>
            </a:ext>
          </a:extLst>
        </xdr:cNvPr>
        <xdr:cNvSpPr/>
      </xdr:nvSpPr>
      <xdr:spPr>
        <a:xfrm>
          <a:off x="4280429" y="157691"/>
          <a:ext cx="560916" cy="266700"/>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ctr"/>
        <a:lstStyle/>
        <a:p>
          <a:pPr algn="ctr"/>
          <a:r>
            <a:rPr lang="en-GB" sz="1000" baseline="0">
              <a:solidFill>
                <a:srgbClr val="FFFF00"/>
              </a:solidFill>
              <a:latin typeface="Arial" panose="020B0604020202020204" pitchFamily="34" charset="0"/>
              <a:cs typeface="Arial" panose="020B0604020202020204" pitchFamily="34" charset="0"/>
            </a:rPr>
            <a:t>↕Name</a:t>
          </a:r>
          <a:endParaRPr lang="en-GB" sz="1000">
            <a:solidFill>
              <a:srgbClr val="FFFF00"/>
            </a:solidFill>
            <a:latin typeface="Arial" panose="020B060402020202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20</xdr:col>
      <xdr:colOff>102870</xdr:colOff>
      <xdr:row>0</xdr:row>
      <xdr:rowOff>137583</xdr:rowOff>
    </xdr:from>
    <xdr:to>
      <xdr:col>20</xdr:col>
      <xdr:colOff>621648</xdr:colOff>
      <xdr:row>0</xdr:row>
      <xdr:rowOff>402167</xdr:rowOff>
    </xdr:to>
    <xdr:sp macro="[0]!SortTable" textlink="">
      <xdr:nvSpPr>
        <xdr:cNvPr id="2" name="Rounded Rectangle 1">
          <a:extLst>
            <a:ext uri="{FF2B5EF4-FFF2-40B4-BE49-F238E27FC236}">
              <a16:creationId xmlns:a16="http://schemas.microsoft.com/office/drawing/2014/main" id="{00000000-0008-0000-0100-000002000000}"/>
            </a:ext>
          </a:extLst>
        </xdr:cNvPr>
        <xdr:cNvSpPr/>
      </xdr:nvSpPr>
      <xdr:spPr>
        <a:xfrm>
          <a:off x="10834370" y="137583"/>
          <a:ext cx="518778" cy="264584"/>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200">
              <a:solidFill>
                <a:srgbClr val="FFFF00"/>
              </a:solidFill>
              <a:latin typeface="Arial" panose="020B0604020202020204" pitchFamily="34" charset="0"/>
              <a:cs typeface="Arial" panose="020B0604020202020204" pitchFamily="34" charset="0"/>
            </a:rPr>
            <a:t>Sort</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42863</xdr:colOff>
      <xdr:row>0</xdr:row>
      <xdr:rowOff>52387</xdr:rowOff>
    </xdr:from>
    <xdr:to>
      <xdr:col>1</xdr:col>
      <xdr:colOff>890588</xdr:colOff>
      <xdr:row>0</xdr:row>
      <xdr:rowOff>295275</xdr:rowOff>
    </xdr:to>
    <xdr:sp macro="[0]!MatchClear" textlink="">
      <xdr:nvSpPr>
        <xdr:cNvPr id="2" name="Rounded Rectangle 1">
          <a:extLst>
            <a:ext uri="{FF2B5EF4-FFF2-40B4-BE49-F238E27FC236}">
              <a16:creationId xmlns:a16="http://schemas.microsoft.com/office/drawing/2014/main" id="{AA713B48-EC96-4035-983A-0A0C4CE38F9B}"/>
            </a:ext>
          </a:extLst>
        </xdr:cNvPr>
        <xdr:cNvSpPr/>
      </xdr:nvSpPr>
      <xdr:spPr>
        <a:xfrm>
          <a:off x="42863" y="52387"/>
          <a:ext cx="847725" cy="242888"/>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ctr"/>
        <a:lstStyle/>
        <a:p>
          <a:pPr algn="ctr"/>
          <a:r>
            <a:rPr lang="en-GB" sz="1000">
              <a:solidFill>
                <a:srgbClr val="FFFF00"/>
              </a:solidFill>
              <a:latin typeface="Arial" panose="020B0604020202020204" pitchFamily="34" charset="0"/>
              <a:cs typeface="Arial" panose="020B0604020202020204" pitchFamily="34" charset="0"/>
            </a:rPr>
            <a:t>Clear Match</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32</xdr:col>
      <xdr:colOff>52387</xdr:colOff>
      <xdr:row>0</xdr:row>
      <xdr:rowOff>228124</xdr:rowOff>
    </xdr:from>
    <xdr:to>
      <xdr:col>32</xdr:col>
      <xdr:colOff>1007612</xdr:colOff>
      <xdr:row>0</xdr:row>
      <xdr:rowOff>523727</xdr:rowOff>
    </xdr:to>
    <xdr:sp macro="[0]!SortWeekRankSoFar" textlink="">
      <xdr:nvSpPr>
        <xdr:cNvPr id="2" name="Rectangle 1">
          <a:extLst>
            <a:ext uri="{FF2B5EF4-FFF2-40B4-BE49-F238E27FC236}">
              <a16:creationId xmlns:a16="http://schemas.microsoft.com/office/drawing/2014/main" id="{00000000-0008-0000-0A00-000002000000}"/>
            </a:ext>
          </a:extLst>
        </xdr:cNvPr>
        <xdr:cNvSpPr/>
      </xdr:nvSpPr>
      <xdr:spPr>
        <a:xfrm>
          <a:off x="16042481" y="228124"/>
          <a:ext cx="955225" cy="295603"/>
        </a:xfrm>
        <a:prstGeom prst="rect">
          <a:avLst/>
        </a:prstGeom>
        <a:solidFill>
          <a:srgbClr val="7030A0"/>
        </a:solidFill>
        <a:ln w="1270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FFFF00"/>
              </a:solidFill>
              <a:latin typeface="Arial" panose="020B0604020202020204" pitchFamily="34" charset="0"/>
              <a:cs typeface="Arial" panose="020B0604020202020204" pitchFamily="34" charset="0"/>
            </a:rPr>
            <a:t>Player ↕</a:t>
          </a:r>
        </a:p>
      </xdr:txBody>
    </xdr:sp>
    <xdr:clientData/>
  </xdr:twoCellAnchor>
  <xdr:twoCellAnchor>
    <xdr:from>
      <xdr:col>12</xdr:col>
      <xdr:colOff>47625</xdr:colOff>
      <xdr:row>0</xdr:row>
      <xdr:rowOff>47625</xdr:rowOff>
    </xdr:from>
    <xdr:to>
      <xdr:col>12</xdr:col>
      <xdr:colOff>1089421</xdr:colOff>
      <xdr:row>0</xdr:row>
      <xdr:rowOff>309563</xdr:rowOff>
    </xdr:to>
    <xdr:sp macro="[0]!PicksClear1" textlink="">
      <xdr:nvSpPr>
        <xdr:cNvPr id="3" name="Rounded Rectangle 1">
          <a:extLst>
            <a:ext uri="{FF2B5EF4-FFF2-40B4-BE49-F238E27FC236}">
              <a16:creationId xmlns:a16="http://schemas.microsoft.com/office/drawing/2014/main" id="{B2503CE2-59C5-41EE-9DEA-D8721FB4182E}"/>
            </a:ext>
          </a:extLst>
        </xdr:cNvPr>
        <xdr:cNvSpPr/>
      </xdr:nvSpPr>
      <xdr:spPr>
        <a:xfrm>
          <a:off x="7596188" y="47625"/>
          <a:ext cx="1041796" cy="261938"/>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ctr"/>
        <a:lstStyle/>
        <a:p>
          <a:pPr algn="ctr"/>
          <a:r>
            <a:rPr lang="en-GB" sz="1000">
              <a:solidFill>
                <a:srgbClr val="FFFF00"/>
              </a:solidFill>
              <a:latin typeface="Arial" panose="020B0604020202020204" pitchFamily="34" charset="0"/>
              <a:cs typeface="Arial" panose="020B0604020202020204" pitchFamily="34" charset="0"/>
            </a:rPr>
            <a:t>1st Week</a:t>
          </a:r>
          <a:r>
            <a:rPr lang="en-GB" sz="1000" baseline="0">
              <a:solidFill>
                <a:srgbClr val="FFFF00"/>
              </a:solidFill>
              <a:latin typeface="Arial" panose="020B0604020202020204" pitchFamily="34" charset="0"/>
              <a:cs typeface="Arial" panose="020B0604020202020204" pitchFamily="34" charset="0"/>
            </a:rPr>
            <a:t> Clear</a:t>
          </a:r>
          <a:endParaRPr lang="en-GB" sz="1000">
            <a:solidFill>
              <a:srgbClr val="FFFF00"/>
            </a:solidFill>
            <a:latin typeface="Arial" panose="020B0604020202020204" pitchFamily="34" charset="0"/>
            <a:cs typeface="Arial" panose="020B0604020202020204" pitchFamily="34" charset="0"/>
          </a:endParaRPr>
        </a:p>
      </xdr:txBody>
    </xdr:sp>
    <xdr:clientData/>
  </xdr:twoCellAnchor>
  <xdr:twoCellAnchor>
    <xdr:from>
      <xdr:col>17</xdr:col>
      <xdr:colOff>35719</xdr:colOff>
      <xdr:row>0</xdr:row>
      <xdr:rowOff>47626</xdr:rowOff>
    </xdr:from>
    <xdr:to>
      <xdr:col>17</xdr:col>
      <xdr:colOff>1077515</xdr:colOff>
      <xdr:row>0</xdr:row>
      <xdr:rowOff>309564</xdr:rowOff>
    </xdr:to>
    <xdr:sp macro="[0]!PicksClear2" textlink="">
      <xdr:nvSpPr>
        <xdr:cNvPr id="4" name="Rounded Rectangle 1">
          <a:extLst>
            <a:ext uri="{FF2B5EF4-FFF2-40B4-BE49-F238E27FC236}">
              <a16:creationId xmlns:a16="http://schemas.microsoft.com/office/drawing/2014/main" id="{F55305F1-C586-4B5D-A9A9-AD2825E5E4A6}"/>
            </a:ext>
          </a:extLst>
        </xdr:cNvPr>
        <xdr:cNvSpPr/>
      </xdr:nvSpPr>
      <xdr:spPr>
        <a:xfrm>
          <a:off x="12328923" y="47626"/>
          <a:ext cx="1041796" cy="261938"/>
        </a:xfrm>
        <a:prstGeom prst="roundRect">
          <a:avLst/>
        </a:prstGeom>
        <a:solidFill>
          <a:srgbClr val="7030A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tIns="3600" rIns="3600" bIns="3600" rtlCol="0" anchor="ctr"/>
        <a:lstStyle/>
        <a:p>
          <a:pPr algn="ctr"/>
          <a:r>
            <a:rPr lang="en-GB" sz="1000">
              <a:solidFill>
                <a:srgbClr val="FFFF00"/>
              </a:solidFill>
              <a:latin typeface="Arial" panose="020B0604020202020204" pitchFamily="34" charset="0"/>
              <a:cs typeface="Arial" panose="020B0604020202020204" pitchFamily="34" charset="0"/>
            </a:rPr>
            <a:t>2nd Week</a:t>
          </a:r>
          <a:r>
            <a:rPr lang="en-GB" sz="1000" baseline="0">
              <a:solidFill>
                <a:srgbClr val="FFFF00"/>
              </a:solidFill>
              <a:latin typeface="Arial" panose="020B0604020202020204" pitchFamily="34" charset="0"/>
              <a:cs typeface="Arial" panose="020B0604020202020204" pitchFamily="34" charset="0"/>
            </a:rPr>
            <a:t> Clear</a:t>
          </a:r>
          <a:endParaRPr lang="en-GB" sz="1000">
            <a:solidFill>
              <a:srgbClr val="FFFF00"/>
            </a:solidFill>
            <a:latin typeface="Arial" panose="020B0604020202020204" pitchFamily="34" charset="0"/>
            <a:cs typeface="Arial" panose="020B0604020202020204" pitchFamily="34" charset="0"/>
          </a:endParaRPr>
        </a:p>
      </xdr:txBody>
    </xdr:sp>
    <xdr:clientData/>
  </xdr:twoCellAnchor>
</xdr:wsDr>
</file>

<file path=xl/drawings/drawing6.xml><?xml version="1.0" encoding="utf-8"?>
<xdr:wsDr xmlns:xdr="http://schemas.openxmlformats.org/drawingml/2006/spreadsheetDrawing" xmlns:a="http://schemas.openxmlformats.org/drawingml/2006/main">
  <xdr:oneCellAnchor>
    <xdr:from>
      <xdr:col>4</xdr:col>
      <xdr:colOff>146685</xdr:colOff>
      <xdr:row>0</xdr:row>
      <xdr:rowOff>304800</xdr:rowOff>
    </xdr:from>
    <xdr:ext cx="1609048" cy="649665"/>
    <xdr:sp macro="" textlink="">
      <xdr:nvSpPr>
        <xdr:cNvPr id="2" name="TextBox 1">
          <a:extLst>
            <a:ext uri="{FF2B5EF4-FFF2-40B4-BE49-F238E27FC236}">
              <a16:creationId xmlns:a16="http://schemas.microsoft.com/office/drawing/2014/main" id="{00000000-0008-0000-0E00-000002000000}"/>
            </a:ext>
          </a:extLst>
        </xdr:cNvPr>
        <xdr:cNvSpPr txBox="1"/>
      </xdr:nvSpPr>
      <xdr:spPr>
        <a:xfrm>
          <a:off x="3275648" y="304800"/>
          <a:ext cx="1609048" cy="64966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spAutoFit/>
        </a:bodyPr>
        <a:lstStyle/>
        <a:p>
          <a:r>
            <a:rPr lang="en-GB" sz="900" b="1">
              <a:solidFill>
                <a:schemeClr val="bg1"/>
              </a:solidFill>
              <a:latin typeface="Tahoma" panose="020B0604030504040204" pitchFamily="34" charset="0"/>
              <a:ea typeface="Tahoma" panose="020B0604030504040204" pitchFamily="34" charset="0"/>
              <a:cs typeface="Tahoma" panose="020B0604030504040204" pitchFamily="34" charset="0"/>
            </a:rPr>
            <a:t>Change Pivot data source  to reflect rows</a:t>
          </a:r>
          <a:r>
            <a:rPr lang="en-GB" sz="900" b="1" baseline="0">
              <a:solidFill>
                <a:schemeClr val="bg1"/>
              </a:solidFill>
              <a:latin typeface="Tahoma" panose="020B0604030504040204" pitchFamily="34" charset="0"/>
              <a:ea typeface="Tahoma" panose="020B0604030504040204" pitchFamily="34" charset="0"/>
              <a:cs typeface="Tahoma" panose="020B0604030504040204" pitchFamily="34" charset="0"/>
            </a:rPr>
            <a:t> in Picks, ie if 90 players:  Picks!$I$1:$M$271 </a:t>
          </a:r>
          <a:endParaRPr lang="en-GB" sz="9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oneCellAnchor>
  <xdr:oneCellAnchor>
    <xdr:from>
      <xdr:col>8</xdr:col>
      <xdr:colOff>184785</xdr:colOff>
      <xdr:row>0</xdr:row>
      <xdr:rowOff>152400</xdr:rowOff>
    </xdr:from>
    <xdr:ext cx="1634584" cy="649665"/>
    <xdr:sp macro="" textlink="">
      <xdr:nvSpPr>
        <xdr:cNvPr id="6" name="TextBox 5">
          <a:extLst>
            <a:ext uri="{FF2B5EF4-FFF2-40B4-BE49-F238E27FC236}">
              <a16:creationId xmlns:a16="http://schemas.microsoft.com/office/drawing/2014/main" id="{00000000-0008-0000-0E00-000006000000}"/>
            </a:ext>
          </a:extLst>
        </xdr:cNvPr>
        <xdr:cNvSpPr txBox="1"/>
      </xdr:nvSpPr>
      <xdr:spPr>
        <a:xfrm>
          <a:off x="5678805" y="152400"/>
          <a:ext cx="1635522" cy="649665"/>
        </a:xfrm>
        <a:prstGeom prst="rect">
          <a:avLst/>
        </a:prstGeom>
        <a:solidFill>
          <a:srgbClr val="FF00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overflow" horzOverflow="overflow" wrap="square" rtlCol="0" anchor="t">
          <a:spAutoFit/>
        </a:bodyPr>
        <a:lstStyle/>
        <a:p>
          <a:r>
            <a:rPr lang="en-GB" sz="900" b="1">
              <a:solidFill>
                <a:schemeClr val="bg1"/>
              </a:solidFill>
              <a:latin typeface="Tahoma" panose="020B0604030504040204" pitchFamily="34" charset="0"/>
              <a:ea typeface="Tahoma" panose="020B0604030504040204" pitchFamily="34" charset="0"/>
              <a:cs typeface="Tahoma" panose="020B0604030504040204" pitchFamily="34" charset="0"/>
            </a:rPr>
            <a:t>Paste the results from the pivot table</a:t>
          </a:r>
          <a:r>
            <a:rPr lang="en-GB" sz="900" b="1" baseline="0">
              <a:solidFill>
                <a:schemeClr val="bg1"/>
              </a:solidFill>
              <a:latin typeface="Tahoma" panose="020B0604030504040204" pitchFamily="34" charset="0"/>
              <a:ea typeface="Tahoma" panose="020B0604030504040204" pitchFamily="34" charset="0"/>
              <a:cs typeface="Tahoma" panose="020B0604030504040204" pitchFamily="34" charset="0"/>
            </a:rPr>
            <a:t> (Cols A-C) on the left i</a:t>
          </a:r>
          <a:r>
            <a:rPr lang="en-GB" sz="900" b="1">
              <a:solidFill>
                <a:schemeClr val="bg1"/>
              </a:solidFill>
              <a:latin typeface="Tahoma" panose="020B0604030504040204" pitchFamily="34" charset="0"/>
              <a:ea typeface="Tahoma" panose="020B0604030504040204" pitchFamily="34" charset="0"/>
              <a:cs typeface="Tahoma" panose="020B0604030504040204" pitchFamily="34" charset="0"/>
            </a:rPr>
            <a:t>nto the table</a:t>
          </a:r>
          <a:r>
            <a:rPr lang="en-GB" sz="900" b="1" baseline="0">
              <a:solidFill>
                <a:schemeClr val="bg1"/>
              </a:solidFill>
              <a:latin typeface="Tahoma" panose="020B0604030504040204" pitchFamily="34" charset="0"/>
              <a:ea typeface="Tahoma" panose="020B0604030504040204" pitchFamily="34" charset="0"/>
              <a:cs typeface="Tahoma" panose="020B0604030504040204" pitchFamily="34" charset="0"/>
            </a:rPr>
            <a:t> below</a:t>
          </a:r>
          <a:endParaRPr lang="en-GB" sz="900" b="1">
            <a:solidFill>
              <a:schemeClr val="bg1"/>
            </a:solidFill>
            <a:latin typeface="Tahoma" panose="020B0604030504040204" pitchFamily="34" charset="0"/>
            <a:ea typeface="Tahoma" panose="020B0604030504040204" pitchFamily="34" charset="0"/>
            <a:cs typeface="Tahoma" panose="020B0604030504040204" pitchFamily="34" charset="0"/>
          </a:endParaRPr>
        </a:p>
      </xdr:txBody>
    </xdr:sp>
    <xdr:clientData/>
  </xdr:oneCellAnchor>
  <xdr:twoCellAnchor>
    <xdr:from>
      <xdr:col>7</xdr:col>
      <xdr:colOff>65723</xdr:colOff>
      <xdr:row>0</xdr:row>
      <xdr:rowOff>790575</xdr:rowOff>
    </xdr:from>
    <xdr:to>
      <xdr:col>7</xdr:col>
      <xdr:colOff>577794</xdr:colOff>
      <xdr:row>0</xdr:row>
      <xdr:rowOff>988695</xdr:rowOff>
    </xdr:to>
    <xdr:sp macro="[0]!ClearTopPicks" textlink="">
      <xdr:nvSpPr>
        <xdr:cNvPr id="3" name="Rectangle: Rounded Corners 2">
          <a:extLst>
            <a:ext uri="{FF2B5EF4-FFF2-40B4-BE49-F238E27FC236}">
              <a16:creationId xmlns:a16="http://schemas.microsoft.com/office/drawing/2014/main" id="{00000000-0008-0000-0E00-000003000000}"/>
            </a:ext>
          </a:extLst>
        </xdr:cNvPr>
        <xdr:cNvSpPr/>
      </xdr:nvSpPr>
      <xdr:spPr>
        <a:xfrm>
          <a:off x="5109211" y="790575"/>
          <a:ext cx="512071" cy="198120"/>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lang="en-GB" sz="1100">
              <a:solidFill>
                <a:schemeClr val="tx1"/>
              </a:solidFill>
            </a:rPr>
            <a:t>Clear</a:t>
          </a:r>
        </a:p>
      </xdr:txBody>
    </xdr:sp>
    <xdr:clientData/>
  </xdr:twoCellAnchor>
  <xdr:twoCellAnchor>
    <xdr:from>
      <xdr:col>9</xdr:col>
      <xdr:colOff>104775</xdr:colOff>
      <xdr:row>0</xdr:row>
      <xdr:rowOff>752476</xdr:rowOff>
    </xdr:from>
    <xdr:to>
      <xdr:col>9</xdr:col>
      <xdr:colOff>707334</xdr:colOff>
      <xdr:row>0</xdr:row>
      <xdr:rowOff>1104902</xdr:rowOff>
    </xdr:to>
    <xdr:sp macro="[0]!SortTopPicksDown" textlink="">
      <xdr:nvSpPr>
        <xdr:cNvPr id="8" name="Rectangle: Rounded Corners 7">
          <a:extLst>
            <a:ext uri="{FF2B5EF4-FFF2-40B4-BE49-F238E27FC236}">
              <a16:creationId xmlns:a16="http://schemas.microsoft.com/office/drawing/2014/main" id="{5824A2C1-788C-45B2-9650-11982B0BE9C2}"/>
            </a:ext>
          </a:extLst>
        </xdr:cNvPr>
        <xdr:cNvSpPr/>
      </xdr:nvSpPr>
      <xdr:spPr>
        <a:xfrm>
          <a:off x="7862888" y="752476"/>
          <a:ext cx="602559" cy="35242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rIns="3600" rtlCol="0" anchor="ctr"/>
        <a:lstStyle/>
        <a:p>
          <a:pPr algn="ctr"/>
          <a:r>
            <a:rPr lang="en-GB" sz="1100">
              <a:solidFill>
                <a:schemeClr val="tx1"/>
              </a:solidFill>
            </a:rPr>
            <a:t>↕Down</a:t>
          </a:r>
        </a:p>
      </xdr:txBody>
    </xdr:sp>
    <xdr:clientData/>
  </xdr:twoCellAnchor>
  <xdr:twoCellAnchor>
    <xdr:from>
      <xdr:col>10</xdr:col>
      <xdr:colOff>128587</xdr:colOff>
      <xdr:row>0</xdr:row>
      <xdr:rowOff>762000</xdr:rowOff>
    </xdr:from>
    <xdr:to>
      <xdr:col>10</xdr:col>
      <xdr:colOff>731146</xdr:colOff>
      <xdr:row>0</xdr:row>
      <xdr:rowOff>1114426</xdr:rowOff>
    </xdr:to>
    <xdr:sp macro="[0]!SortTopPicksUp" textlink="">
      <xdr:nvSpPr>
        <xdr:cNvPr id="10" name="Rectangle: Rounded Corners 9">
          <a:extLst>
            <a:ext uri="{FF2B5EF4-FFF2-40B4-BE49-F238E27FC236}">
              <a16:creationId xmlns:a16="http://schemas.microsoft.com/office/drawing/2014/main" id="{2083F34A-E459-44E7-8394-DEB590E36093}"/>
            </a:ext>
          </a:extLst>
        </xdr:cNvPr>
        <xdr:cNvSpPr/>
      </xdr:nvSpPr>
      <xdr:spPr>
        <a:xfrm>
          <a:off x="8724900" y="762000"/>
          <a:ext cx="602559" cy="352426"/>
        </a:xfrm>
        <a:prstGeom prst="roundRect">
          <a:avLst/>
        </a:prstGeom>
        <a:solidFill>
          <a:srgbClr val="FFFF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3600" rIns="3600" rtlCol="0" anchor="ctr"/>
        <a:lstStyle/>
        <a:p>
          <a:pPr algn="ctr"/>
          <a:r>
            <a:rPr lang="en-GB" sz="1100">
              <a:solidFill>
                <a:schemeClr val="tx1"/>
              </a:solidFill>
            </a:rPr>
            <a:t>↕Up</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38100</xdr:colOff>
      <xdr:row>0</xdr:row>
      <xdr:rowOff>76200</xdr:rowOff>
    </xdr:from>
    <xdr:to>
      <xdr:col>0</xdr:col>
      <xdr:colOff>956795</xdr:colOff>
      <xdr:row>0</xdr:row>
      <xdr:rowOff>365760</xdr:rowOff>
    </xdr:to>
    <xdr:sp macro="[0]!SortPizzaRace" textlink="">
      <xdr:nvSpPr>
        <xdr:cNvPr id="2" name="Rectangle 1">
          <a:extLst>
            <a:ext uri="{FF2B5EF4-FFF2-40B4-BE49-F238E27FC236}">
              <a16:creationId xmlns:a16="http://schemas.microsoft.com/office/drawing/2014/main" id="{00000000-0008-0000-1200-000002000000}"/>
            </a:ext>
          </a:extLst>
        </xdr:cNvPr>
        <xdr:cNvSpPr/>
      </xdr:nvSpPr>
      <xdr:spPr>
        <a:xfrm>
          <a:off x="38100" y="76200"/>
          <a:ext cx="914400" cy="289560"/>
        </a:xfrm>
        <a:prstGeom prst="rect">
          <a:avLst/>
        </a:prstGeom>
        <a:solidFill>
          <a:srgbClr val="7030A0"/>
        </a:solidFill>
        <a:ln w="127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FFFF00"/>
              </a:solidFill>
              <a:latin typeface="Arial" panose="020B0604020202020204" pitchFamily="34" charset="0"/>
              <a:cs typeface="Arial" panose="020B0604020202020204" pitchFamily="34" charset="0"/>
            </a:rPr>
            <a:t>Pizza Race</a:t>
          </a:r>
        </a:p>
      </xdr:txBody>
    </xdr:sp>
    <xdr:clientData/>
  </xdr:twoCellAnchor>
  <xdr:twoCellAnchor>
    <xdr:from>
      <xdr:col>8</xdr:col>
      <xdr:colOff>38100</xdr:colOff>
      <xdr:row>0</xdr:row>
      <xdr:rowOff>76200</xdr:rowOff>
    </xdr:from>
    <xdr:to>
      <xdr:col>8</xdr:col>
      <xdr:colOff>1147444</xdr:colOff>
      <xdr:row>0</xdr:row>
      <xdr:rowOff>365760</xdr:rowOff>
    </xdr:to>
    <xdr:sp macro="[0]!SortPizzaRace2" textlink="">
      <xdr:nvSpPr>
        <xdr:cNvPr id="3" name="Rectangle 2">
          <a:extLst>
            <a:ext uri="{FF2B5EF4-FFF2-40B4-BE49-F238E27FC236}">
              <a16:creationId xmlns:a16="http://schemas.microsoft.com/office/drawing/2014/main" id="{00000000-0008-0000-1200-000003000000}"/>
            </a:ext>
          </a:extLst>
        </xdr:cNvPr>
        <xdr:cNvSpPr/>
      </xdr:nvSpPr>
      <xdr:spPr>
        <a:xfrm>
          <a:off x="4943475" y="76200"/>
          <a:ext cx="1076325" cy="289560"/>
        </a:xfrm>
        <a:prstGeom prst="rect">
          <a:avLst/>
        </a:prstGeom>
        <a:solidFill>
          <a:srgbClr val="7030A0"/>
        </a:solidFill>
        <a:ln w="12700">
          <a:solidFill>
            <a:srgbClr val="FFFF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solidFill>
                <a:srgbClr val="FFFF00"/>
              </a:solidFill>
              <a:latin typeface="Arial" panose="020B0604020202020204" pitchFamily="34" charset="0"/>
              <a:cs typeface="Arial" panose="020B0604020202020204" pitchFamily="34" charset="0"/>
            </a:rPr>
            <a:t>Pizza Race</a:t>
          </a: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11</xdr:row>
      <xdr:rowOff>0</xdr:rowOff>
    </xdr:from>
    <xdr:to>
      <xdr:col>1</xdr:col>
      <xdr:colOff>7856220</xdr:colOff>
      <xdr:row>16</xdr:row>
      <xdr:rowOff>0</xdr:rowOff>
    </xdr:to>
    <xdr:pic>
      <xdr:nvPicPr>
        <xdr:cNvPr id="1641612" name="Picture 1" descr="bet1">
          <a:hlinkClick xmlns:r="http://schemas.openxmlformats.org/officeDocument/2006/relationships" r:id="rId1"/>
          <a:extLst>
            <a:ext uri="{FF2B5EF4-FFF2-40B4-BE49-F238E27FC236}">
              <a16:creationId xmlns:a16="http://schemas.microsoft.com/office/drawing/2014/main" id="{00000000-0008-0000-1300-00008C0C19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24840" y="4229100"/>
          <a:ext cx="785622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20</xdr:row>
      <xdr:rowOff>0</xdr:rowOff>
    </xdr:from>
    <xdr:to>
      <xdr:col>1</xdr:col>
      <xdr:colOff>7856220</xdr:colOff>
      <xdr:row>25</xdr:row>
      <xdr:rowOff>0</xdr:rowOff>
    </xdr:to>
    <xdr:pic>
      <xdr:nvPicPr>
        <xdr:cNvPr id="1641613" name="Picture 2" descr="bet2">
          <a:hlinkClick xmlns:r="http://schemas.openxmlformats.org/officeDocument/2006/relationships" r:id="rId3"/>
          <a:extLst>
            <a:ext uri="{FF2B5EF4-FFF2-40B4-BE49-F238E27FC236}">
              <a16:creationId xmlns:a16="http://schemas.microsoft.com/office/drawing/2014/main" id="{00000000-0008-0000-1300-00008D0C19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24840" y="5958840"/>
          <a:ext cx="785622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29</xdr:row>
      <xdr:rowOff>0</xdr:rowOff>
    </xdr:from>
    <xdr:to>
      <xdr:col>1</xdr:col>
      <xdr:colOff>7856220</xdr:colOff>
      <xdr:row>34</xdr:row>
      <xdr:rowOff>0</xdr:rowOff>
    </xdr:to>
    <xdr:pic>
      <xdr:nvPicPr>
        <xdr:cNvPr id="1641614" name="Picture 3" descr="bet3">
          <a:hlinkClick xmlns:r="http://schemas.openxmlformats.org/officeDocument/2006/relationships" r:id="rId5"/>
          <a:extLst>
            <a:ext uri="{FF2B5EF4-FFF2-40B4-BE49-F238E27FC236}">
              <a16:creationId xmlns:a16="http://schemas.microsoft.com/office/drawing/2014/main" id="{00000000-0008-0000-1300-00008E0C1900}"/>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624840" y="7688580"/>
          <a:ext cx="7856220" cy="960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0</xdr:colOff>
      <xdr:row>38</xdr:row>
      <xdr:rowOff>0</xdr:rowOff>
    </xdr:from>
    <xdr:to>
      <xdr:col>1</xdr:col>
      <xdr:colOff>7856220</xdr:colOff>
      <xdr:row>43</xdr:row>
      <xdr:rowOff>7620</xdr:rowOff>
    </xdr:to>
    <xdr:pic>
      <xdr:nvPicPr>
        <xdr:cNvPr id="1641615" name="Picture 4" descr="bet4">
          <a:hlinkClick xmlns:r="http://schemas.openxmlformats.org/officeDocument/2006/relationships" r:id="rId7"/>
          <a:extLst>
            <a:ext uri="{FF2B5EF4-FFF2-40B4-BE49-F238E27FC236}">
              <a16:creationId xmlns:a16="http://schemas.microsoft.com/office/drawing/2014/main" id="{00000000-0008-0000-1300-00008F0C19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4840" y="9425940"/>
          <a:ext cx="7856220" cy="967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329565</xdr:colOff>
      <xdr:row>45</xdr:row>
      <xdr:rowOff>19051</xdr:rowOff>
    </xdr:from>
    <xdr:to>
      <xdr:col>2</xdr:col>
      <xdr:colOff>1055481</xdr:colOff>
      <xdr:row>45</xdr:row>
      <xdr:rowOff>448762</xdr:rowOff>
    </xdr:to>
    <xdr:sp macro="" textlink="">
      <xdr:nvSpPr>
        <xdr:cNvPr id="6" name="Rounded Rectangular Callout 5">
          <a:extLst>
            <a:ext uri="{FF2B5EF4-FFF2-40B4-BE49-F238E27FC236}">
              <a16:creationId xmlns:a16="http://schemas.microsoft.com/office/drawing/2014/main" id="{00000000-0008-0000-1300-000006000000}"/>
            </a:ext>
          </a:extLst>
        </xdr:cNvPr>
        <xdr:cNvSpPr/>
      </xdr:nvSpPr>
      <xdr:spPr>
        <a:xfrm>
          <a:off x="9296400" y="10744201"/>
          <a:ext cx="714375" cy="419100"/>
        </a:xfrm>
        <a:prstGeom prst="wedgeRoundRectCallout">
          <a:avLst>
            <a:gd name="adj1" fmla="val -110417"/>
            <a:gd name="adj2" fmla="val -27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algn="l"/>
          <a:r>
            <a:rPr lang="en-GB" sz="1100"/>
            <a:t>Click for more info</a:t>
          </a:r>
        </a:p>
      </xdr:txBody>
    </xdr:sp>
    <xdr:clientData/>
  </xdr:twoCellAnchor>
  <xdr:twoCellAnchor>
    <xdr:from>
      <xdr:col>2</xdr:col>
      <xdr:colOff>251460</xdr:colOff>
      <xdr:row>53</xdr:row>
      <xdr:rowOff>66675</xdr:rowOff>
    </xdr:from>
    <xdr:to>
      <xdr:col>2</xdr:col>
      <xdr:colOff>1033147</xdr:colOff>
      <xdr:row>53</xdr:row>
      <xdr:rowOff>479997</xdr:rowOff>
    </xdr:to>
    <xdr:sp macro="" textlink="">
      <xdr:nvSpPr>
        <xdr:cNvPr id="9" name="Rounded Rectangular Callout 8">
          <a:extLst>
            <a:ext uri="{FF2B5EF4-FFF2-40B4-BE49-F238E27FC236}">
              <a16:creationId xmlns:a16="http://schemas.microsoft.com/office/drawing/2014/main" id="{00000000-0008-0000-1300-000009000000}"/>
            </a:ext>
          </a:extLst>
        </xdr:cNvPr>
        <xdr:cNvSpPr/>
      </xdr:nvSpPr>
      <xdr:spPr>
        <a:xfrm>
          <a:off x="9239250" y="14220825"/>
          <a:ext cx="714375" cy="419100"/>
        </a:xfrm>
        <a:prstGeom prst="wedgeRoundRectCallout">
          <a:avLst>
            <a:gd name="adj1" fmla="val -110417"/>
            <a:gd name="adj2" fmla="val -27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algn="l"/>
          <a:r>
            <a:rPr lang="en-GB" sz="1100"/>
            <a:t>Click for more info</a:t>
          </a:r>
        </a:p>
      </xdr:txBody>
    </xdr:sp>
    <xdr:clientData/>
  </xdr:twoCellAnchor>
  <xdr:twoCellAnchor>
    <xdr:from>
      <xdr:col>2</xdr:col>
      <xdr:colOff>327660</xdr:colOff>
      <xdr:row>69</xdr:row>
      <xdr:rowOff>0</xdr:rowOff>
    </xdr:from>
    <xdr:to>
      <xdr:col>2</xdr:col>
      <xdr:colOff>1074515</xdr:colOff>
      <xdr:row>69</xdr:row>
      <xdr:rowOff>413535</xdr:rowOff>
    </xdr:to>
    <xdr:sp macro="" textlink="">
      <xdr:nvSpPr>
        <xdr:cNvPr id="10" name="Rounded Rectangular Callout 9">
          <a:extLst>
            <a:ext uri="{FF2B5EF4-FFF2-40B4-BE49-F238E27FC236}">
              <a16:creationId xmlns:a16="http://schemas.microsoft.com/office/drawing/2014/main" id="{00000000-0008-0000-1300-00000A000000}"/>
            </a:ext>
          </a:extLst>
        </xdr:cNvPr>
        <xdr:cNvSpPr/>
      </xdr:nvSpPr>
      <xdr:spPr>
        <a:xfrm>
          <a:off x="9286875" y="20059650"/>
          <a:ext cx="714375" cy="419100"/>
        </a:xfrm>
        <a:prstGeom prst="wedgeRoundRectCallout">
          <a:avLst>
            <a:gd name="adj1" fmla="val -110417"/>
            <a:gd name="adj2" fmla="val -27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algn="l"/>
          <a:r>
            <a:rPr lang="en-GB" sz="1100"/>
            <a:t>Click for more info</a:t>
          </a:r>
        </a:p>
      </xdr:txBody>
    </xdr:sp>
    <xdr:clientData/>
  </xdr:twoCellAnchor>
  <xdr:twoCellAnchor>
    <xdr:from>
      <xdr:col>2</xdr:col>
      <xdr:colOff>365760</xdr:colOff>
      <xdr:row>72</xdr:row>
      <xdr:rowOff>125730</xdr:rowOff>
    </xdr:from>
    <xdr:to>
      <xdr:col>2</xdr:col>
      <xdr:colOff>1112615</xdr:colOff>
      <xdr:row>73</xdr:row>
      <xdr:rowOff>518266</xdr:rowOff>
    </xdr:to>
    <xdr:sp macro="" textlink="">
      <xdr:nvSpPr>
        <xdr:cNvPr id="11" name="Rounded Rectangular Callout 10">
          <a:extLst>
            <a:ext uri="{FF2B5EF4-FFF2-40B4-BE49-F238E27FC236}">
              <a16:creationId xmlns:a16="http://schemas.microsoft.com/office/drawing/2014/main" id="{00000000-0008-0000-1300-00000B000000}"/>
            </a:ext>
          </a:extLst>
        </xdr:cNvPr>
        <xdr:cNvSpPr/>
      </xdr:nvSpPr>
      <xdr:spPr>
        <a:xfrm>
          <a:off x="9324975" y="21717000"/>
          <a:ext cx="714375" cy="419100"/>
        </a:xfrm>
        <a:prstGeom prst="wedgeRoundRectCallout">
          <a:avLst>
            <a:gd name="adj1" fmla="val -110417"/>
            <a:gd name="adj2" fmla="val -27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algn="l"/>
          <a:r>
            <a:rPr lang="en-GB" sz="1100"/>
            <a:t>Click for more info</a:t>
          </a:r>
        </a:p>
      </xdr:txBody>
    </xdr:sp>
    <xdr:clientData/>
  </xdr:twoCellAnchor>
  <xdr:twoCellAnchor>
    <xdr:from>
      <xdr:col>2</xdr:col>
      <xdr:colOff>365760</xdr:colOff>
      <xdr:row>75</xdr:row>
      <xdr:rowOff>76200</xdr:rowOff>
    </xdr:from>
    <xdr:to>
      <xdr:col>2</xdr:col>
      <xdr:colOff>1112615</xdr:colOff>
      <xdr:row>76</xdr:row>
      <xdr:rowOff>114300</xdr:rowOff>
    </xdr:to>
    <xdr:sp macro="" textlink="">
      <xdr:nvSpPr>
        <xdr:cNvPr id="12" name="Rounded Rectangular Callout 11">
          <a:extLst>
            <a:ext uri="{FF2B5EF4-FFF2-40B4-BE49-F238E27FC236}">
              <a16:creationId xmlns:a16="http://schemas.microsoft.com/office/drawing/2014/main" id="{00000000-0008-0000-1300-00000C000000}"/>
            </a:ext>
          </a:extLst>
        </xdr:cNvPr>
        <xdr:cNvSpPr/>
      </xdr:nvSpPr>
      <xdr:spPr>
        <a:xfrm>
          <a:off x="9324975" y="22421850"/>
          <a:ext cx="714375" cy="419100"/>
        </a:xfrm>
        <a:prstGeom prst="wedgeRoundRectCallout">
          <a:avLst>
            <a:gd name="adj1" fmla="val -110417"/>
            <a:gd name="adj2" fmla="val -27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algn="l"/>
          <a:r>
            <a:rPr lang="en-GB" sz="1100"/>
            <a:t>Click for more info</a:t>
          </a:r>
        </a:p>
      </xdr:txBody>
    </xdr:sp>
    <xdr:clientData/>
  </xdr:twoCellAnchor>
  <xdr:twoCellAnchor>
    <xdr:from>
      <xdr:col>2</xdr:col>
      <xdr:colOff>184785</xdr:colOff>
      <xdr:row>2</xdr:row>
      <xdr:rowOff>142875</xdr:rowOff>
    </xdr:from>
    <xdr:to>
      <xdr:col>2</xdr:col>
      <xdr:colOff>921004</xdr:colOff>
      <xdr:row>3</xdr:row>
      <xdr:rowOff>371475</xdr:rowOff>
    </xdr:to>
    <xdr:sp macro="" textlink="">
      <xdr:nvSpPr>
        <xdr:cNvPr id="13" name="Rounded Rectangular Callout 12">
          <a:extLst>
            <a:ext uri="{FF2B5EF4-FFF2-40B4-BE49-F238E27FC236}">
              <a16:creationId xmlns:a16="http://schemas.microsoft.com/office/drawing/2014/main" id="{00000000-0008-0000-1300-00000D000000}"/>
            </a:ext>
          </a:extLst>
        </xdr:cNvPr>
        <xdr:cNvSpPr/>
      </xdr:nvSpPr>
      <xdr:spPr>
        <a:xfrm>
          <a:off x="9153525" y="904875"/>
          <a:ext cx="714375" cy="419100"/>
        </a:xfrm>
        <a:prstGeom prst="wedgeRoundRectCallout">
          <a:avLst>
            <a:gd name="adj1" fmla="val -110417"/>
            <a:gd name="adj2" fmla="val -2799"/>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 tIns="18000" rIns="18000" bIns="18000" rtlCol="0" anchor="t"/>
        <a:lstStyle/>
        <a:p>
          <a:pPr algn="l"/>
          <a:r>
            <a:rPr lang="en-GB" sz="1100"/>
            <a:t>Click for more info</a:t>
          </a:r>
        </a:p>
      </xdr:txBody>
    </xdr:sp>
    <xdr:clientData/>
  </xdr:twoCellAnchor>
</xdr:wsDr>
</file>

<file path=xl/persons/person.xml><?xml version="1.0" encoding="utf-8"?>
<personList xmlns="http://schemas.microsoft.com/office/spreadsheetml/2018/threadedcomments" xmlns:x="http://schemas.openxmlformats.org/spreadsheetml/2006/main"/>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Griffin" refreshedDate="46258.480792129631" createdVersion="8" refreshedVersion="8" minRefreshableVersion="3" recordCount="99" xr:uid="{7204A7F2-347C-4808-9477-39C1DF88ED20}">
  <cacheSource type="worksheet">
    <worksheetSource ref="A1:B100" sheet="Players"/>
  </cacheSource>
  <cacheFields count="2">
    <cacheField name="Players" numFmtId="0">
      <sharedItems containsBlank="1"/>
    </cacheField>
    <cacheField name="Div" numFmtId="170">
      <sharedItems containsBlank="1" count="4">
        <s v="A"/>
        <s v="B"/>
        <s v="C"/>
        <m/>
      </sharedItems>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Griffin" refreshedDate="46293.306335069443" createdVersion="8" refreshedVersion="8" minRefreshableVersion="3" recordCount="50" xr:uid="{C2B09D62-EC8C-4497-B4FF-0972F24A7F2A}">
  <cacheSource type="worksheet">
    <worksheetSource ref="A1:R51" sheet="Table"/>
  </cacheSource>
  <cacheFields count="18">
    <cacheField name="PL48/Week 06" numFmtId="0">
      <sharedItems containsBlank="1"/>
    </cacheField>
    <cacheField name="Place Prize" numFmtId="0">
      <sharedItems/>
    </cacheField>
    <cacheField name="Promotion/_x000a_Relegation" numFmtId="0">
      <sharedItems/>
    </cacheField>
    <cacheField name="Pos" numFmtId="0">
      <sharedItems containsSemiMixedTypes="0" containsString="0" containsNumber="1" containsInteger="1" minValue="1" maxValue="18"/>
    </cacheField>
    <cacheField name="PL48_x000a_Div" numFmtId="0">
      <sharedItems/>
    </cacheField>
    <cacheField name="Player" numFmtId="0">
      <sharedItems/>
    </cacheField>
    <cacheField name="PL49_x000a_Div" numFmtId="0">
      <sharedItems/>
    </cacheField>
    <cacheField name="↓" numFmtId="0">
      <sharedItems containsNonDate="0" containsString="0" containsBlank="1"/>
    </cacheField>
    <cacheField name="Total_x000a_Score" numFmtId="170">
      <sharedItems containsSemiMixedTypes="0" containsString="0" containsNumber="1" minValue="-38.678571428571431" maxValue="36.950000000000003"/>
    </cacheField>
    <cacheField name="Total_x000a_correct" numFmtId="1">
      <sharedItems containsSemiMixedTypes="0" containsString="0" containsNumber="1" containsInteger="1" minValue="2" maxValue="12"/>
    </cacheField>
    <cacheField name="Week_x000a_Score" numFmtId="170">
      <sharedItems containsSemiMixedTypes="0" containsString="0" containsNumber="1" minValue="-7" maxValue="16.990000000000002"/>
    </cacheField>
    <cacheField name="Week_x000a_Correct" numFmtId="1">
      <sharedItems containsSemiMixedTypes="0" containsString="0" containsNumber="1" containsInteger="1" minValue="0" maxValue="3" count="4">
        <n v="3"/>
        <n v="2"/>
        <n v="1"/>
        <n v="0"/>
      </sharedItems>
    </cacheField>
    <cacheField name="League_x000a_Place_x000a_Prize" numFmtId="8">
      <sharedItems containsSemiMixedTypes="0" containsString="0" containsNumber="1" minValue="0" maxValue="78.75"/>
    </cacheField>
    <cacheField name="Weekly_x000a_Prizes" numFmtId="8">
      <sharedItems containsSemiMixedTypes="0" containsString="0" containsNumber="1" minValue="0" maxValue="25"/>
    </cacheField>
    <cacheField name="Cup_x000a_Prize" numFmtId="8">
      <sharedItems containsSemiMixedTypes="0" containsString="0" containsNumber="1" containsInteger="1" minValue="0" maxValue="0"/>
    </cacheField>
    <cacheField name="Total_x000a_Prize" numFmtId="8">
      <sharedItems containsSemiMixedTypes="0" containsString="0" containsNumber="1" minValue="0" maxValue="83.75"/>
    </cacheField>
    <cacheField name="This_x000a_Week_x000a_Max" numFmtId="170">
      <sharedItems containsMixedTypes="1" containsNumber="1" minValue="5.2954545454545467" maxValue="78.099999999999994"/>
    </cacheField>
    <cacheField name="This_x000a_Week_x000a_Actual" numFmtId="170">
      <sharedItems containsSemiMixedTypes="0" containsString="0" containsNumber="1" minValue="-10" maxValue="16.990000000000002"/>
    </cacheField>
  </cacheFields>
  <extLst>
    <ext xmlns:x14="http://schemas.microsoft.com/office/spreadsheetml/2009/9/main" uri="{725AE2AE-9491-48be-B2B4-4EB974FC3084}">
      <x14:pivotCacheDefinition/>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Chris Griffin" refreshedDate="46293.306413194441" createdVersion="8" refreshedVersion="8" minRefreshableVersion="3" recordCount="138" xr:uid="{FEB77C9D-CFF7-48E0-983D-D517E34867F3}">
  <cacheSource type="worksheet">
    <worksheetSource ref="M1:Q139" sheet="Picks"/>
  </cacheSource>
  <cacheFields count="5">
    <cacheField name="Wk1" numFmtId="0">
      <sharedItems containsBlank="1" count="248">
        <s v="Israel draw"/>
        <s v="Lithuania draw"/>
        <s v="Norway draw"/>
        <s v="Cheltenham"/>
        <s v="Rotherham draw"/>
        <s v="Swindon"/>
        <s v="Plymouth"/>
        <s v="Stockport"/>
        <s v="Altrincham"/>
        <s v="Southend"/>
        <s v="Fleetwood"/>
        <s v="Wycombe draw"/>
        <s v="Oldham draw"/>
        <s v="Shrewsbury draw"/>
        <s v="Italy"/>
        <s v="Spain"/>
        <s v="Slovenia"/>
        <s v="Belgium"/>
        <s v="Chesterfield"/>
        <s v="Reading"/>
        <s v="Tamworth"/>
        <s v="Faroe Islands"/>
        <s v="Croatia"/>
        <s v="Italy draw"/>
        <s v="Walsall"/>
        <s v="England draw"/>
        <s v="Rotherham"/>
        <s v="Netherlands"/>
        <s v="Austria"/>
        <s v="Portugal"/>
        <s v="Serbia"/>
        <s v="England"/>
        <s v="Switzerland"/>
        <s v="Exeter"/>
        <s v="Salford"/>
        <s v="Scotland"/>
        <s v="Bristol R"/>
        <s v="Wales"/>
        <s v="Israel"/>
        <s v="Tranmere"/>
        <s v="Albania"/>
        <s v="Bulgaria"/>
        <s v="Slovakia"/>
        <s v="Germany"/>
        <s v="Norway"/>
        <s v="Shrewsbury"/>
        <s v="Denmark"/>
        <s v="Georgia"/>
        <s v="Crewe"/>
        <s v="Aldershot"/>
        <s v="Ireland"/>
        <s v="York"/>
        <s v="Sweden"/>
        <m/>
        <s v="Cambridge"/>
        <s v="Czech draw"/>
        <s v="Montenegro"/>
        <s v="Finland"/>
        <s v="Armenia"/>
        <s v="France"/>
        <s v="Iceland"/>
        <s v="Grimsby"/>
        <s v="Wycombe"/>
        <s v="Hartlepool"/>
        <s v="Gibraltar"/>
        <s v="Stoke draw" u="1"/>
        <s v="Oxford draw" u="1"/>
        <s v="Sheff W draw" u="1"/>
        <s v="Colchester draw" u="1"/>
        <s v="Man U" u="1"/>
        <s v="Leeds" u="1"/>
        <s v="Wolves draw" u="1"/>
        <s v="Stoke" u="1"/>
        <s v="Spurs draw" u="1"/>
        <s v="Chelsea" u="1"/>
        <s v="Cardiff" u="1"/>
        <s v="Swansea" u="1"/>
        <s v="Forest" u="1"/>
        <s v="Everton" u="1"/>
        <s v="Spurs" u="1"/>
        <s v="Oldham" u="1"/>
        <s v="Fulham" u="1"/>
        <s v="Brentford" u="1"/>
        <s v="Sheff W" u="1"/>
        <s v="Burnley" u="1"/>
        <s v="Southampton" u="1"/>
        <s v="Middlesbro" u="1"/>
        <s v="Portsmouth" u="1"/>
        <s v="Wolves" u="1"/>
        <s v="Hull" u="1"/>
        <s v="Villa" u="1"/>
        <s v="Sunderland" u="1"/>
        <s v="Forest draw" u="1"/>
        <s v="Leicester" u="1"/>
        <s v="Huddersfield" u="1"/>
        <s v="Liverpool" u="1"/>
        <s v="Millwall draw" u="1"/>
        <s v="Ipswich" u="1"/>
        <s v="Orient draw" u="1"/>
        <s v="QPR" u="1"/>
        <s v="Luton" u="1"/>
        <s v="Man C" u="1"/>
        <s v="West Ham" u="1"/>
        <s v="Newcastle" u="1"/>
        <s v="Brentford draw" u="1"/>
        <s v="Brighton" u="1"/>
        <s v="Palace" u="1"/>
        <s v="Crewe draw" u="1"/>
        <s v="Rochdale draw" u="1"/>
        <s v="Arsenal" u="1"/>
        <s v="Peterbro" u="1"/>
        <s v="Barnet" u="1"/>
        <s v="Lincoln" u="1"/>
        <s v="Wrexham draw" u="1"/>
        <s v="Orient" u="1"/>
        <s v="Blackpool" u="1"/>
        <s v="Bournemouth draw" u="1"/>
        <s v="Newcastle draw" u="1"/>
        <s v="Watford draw" u="1"/>
        <s v="Wimbledon draw" u="1"/>
        <s v="Walsall draw" u="1"/>
        <s v="Grimsby draw" u="1"/>
        <s v="Charlton" u="1"/>
        <s v="Blackburn draw" u="1"/>
        <s v="Sheff U draw" u="1"/>
        <s v="Bournemouth" u="1"/>
        <s v="Bolton" u="1"/>
        <s v="West Brom" u="1"/>
        <s v="Coventry draw" u="1"/>
        <s v="Watford" u="1"/>
        <s v="Preston" u="1"/>
        <s v="Oxford" u="1"/>
        <s v="Man U draw" u="1"/>
        <s v="Villa draw" u="1"/>
        <s v="Derby draw" u="1"/>
        <s v="Southampton draw" u="1"/>
        <s v="Charlton draw" u="1"/>
        <s v="MK Dons" u="1"/>
        <s v="Port Vale" u="1"/>
        <s v="Preston draw" u="1"/>
        <s v="Burton draw" u="1"/>
        <s v="Reading draw" u="1"/>
        <s v="Cheltenham draw" u="1"/>
        <s v="Sheff U" u="1"/>
        <s v="Barnsley" u="1"/>
        <s v="Swansea draw" u="1"/>
        <s v="Doncaster draw" u="1"/>
        <s v="Burton" u="1"/>
        <s v="Fulham draw" u="1"/>
        <s v="Coventry" u="1"/>
        <s v="Brighton draw" u="1"/>
        <s v="Arsenal draw" u="1"/>
        <s v="Doncaster" u="1"/>
        <s v="QPR draw" u="1"/>
        <s v="Bristol C" u="1"/>
        <s v="Bradford" u="1"/>
        <s v="Millwall" u="1"/>
        <s v="Norwich" u="1"/>
        <s v="Birmingham draw" u="1"/>
        <s v="Colchester" u="1"/>
        <s v="Newport" u="1"/>
        <s v="Cardiff draw" u="1"/>
        <s v="Norwich draw" u="1"/>
        <s v="Chelsea draw" u="1"/>
        <s v="Leeds draw" u="1"/>
        <s v="Bristol C draw" u="1"/>
        <s v="Derby" u="1"/>
        <s v="Newport draw" u="1"/>
        <s v="Stevenage" u="1"/>
        <s v="Wimbledon" u="1"/>
        <s v="Blackburn" u="1"/>
        <s v="Notts Co draw" u="1"/>
        <s v="Lincoln draw" u="1"/>
        <s v="Wigan draw" u="1"/>
        <s v="Everton draw" u="1"/>
        <s v="Stevenage draw" u="1"/>
        <s v="Ipswich draw" u="1"/>
        <s v="Exeter draw" u="1"/>
        <s v="Wrexham" u="1"/>
        <s v="Wigan" u="1"/>
        <s v="Bromley" u="1"/>
        <s v="Swindon draw" u="1"/>
        <s v="Birmingham" u="1"/>
        <s v="Crawley draw" u="1"/>
        <s v="Bolton draw" u="1"/>
        <s v="Peterbro draw" u="1"/>
        <s v="Port Vale draw" u="1"/>
        <s v="Northampton" u="1"/>
        <s v="Mansfield" u="1"/>
        <s v="Accrington" u="1"/>
        <s v="West Brom draw" u="1"/>
        <s v="Notts Co" u="1"/>
        <s v="West Ham draw" u="1"/>
        <s v="Bradford draw" u="1"/>
        <s v="Huddersfield draw" u="1"/>
        <s v="Barrow" u="1"/>
        <s v="Fleetwood draw" u="1"/>
        <s v="Portsmouth draw" u="1"/>
        <s v="Man C draw" u="1"/>
        <s v="Crawley" u="1"/>
        <s v="Harrogate" u="1"/>
        <s v="Accrington draw" u="1"/>
        <s v="Burnley draw" u="1"/>
        <s v="Sunderland draw" u="1"/>
        <s v="Palace draw" u="1"/>
        <s v="Leicester draw" u="1"/>
        <s v="Plymouth draw" u="1"/>
        <s v="Salford draw" u="1"/>
        <s v="Rochdale" u="1"/>
        <s v="Boston" u="1"/>
        <s v="Halifax" u="1"/>
        <s v="Boreham Wood" u="1"/>
        <s v="Halifax draw" u="1"/>
        <s v="Morecambe draw" u="1"/>
        <s v="Sutton draw" u="1"/>
        <s v="Barnet draw" u="1"/>
        <s v="Czech" u="1"/>
        <s v="Ukraine" u="1"/>
        <s v="Sutton" u="1"/>
        <s v="Bosnia" u="1"/>
        <s v="Uruguay" u="1"/>
        <s v="Blackpool draw" u="1"/>
        <s v="Turkey" u="1"/>
        <s v="Poland" u="1"/>
        <s v="Ukraine draw" u="1"/>
        <s v="Braintree" u="1"/>
        <s v="Eastleigh" u="1"/>
        <s v="Truro City" u="1"/>
        <s v="Brackley" u="1"/>
        <s v="Morecambe" u="1"/>
        <s v="MK Dons draw" u="1"/>
        <s v="Luton draw" u="1"/>
        <s v="Cambridge draw" u="1"/>
        <s v="Barnsley draw" u="1"/>
        <s v="Gillingham draw" u="1"/>
        <s v="Bristol R draw" u="1"/>
        <s v="Carlisle" u="1"/>
        <s v="Woking draw" u="1"/>
        <s v="Gillingham" u="1"/>
        <s v="Mansfield draw" u="1"/>
        <s v="Northampton draw" u="1"/>
        <s v="Bromley draw" u="1"/>
        <s v="Hull draw" u="1"/>
        <s v="Braintree draw" u="1"/>
        <s v="Liverpool draw" u="1"/>
        <s v="Chesterfield draw" u="1"/>
        <s v="Middlesbro draw" u="1"/>
        <s v="Stockport draw" u="1"/>
      </sharedItems>
    </cacheField>
    <cacheField name="Frac" numFmtId="0">
      <sharedItems/>
    </cacheField>
    <cacheField name="Dec" numFmtId="175">
      <sharedItems containsMixedTypes="1" containsNumber="1" minValue="1.1000000000000001" maxValue="5"/>
    </cacheField>
    <cacheField name="Bet up " numFmtId="0">
      <sharedItems containsMixedTypes="1" containsNumber="1" containsInteger="1" minValue="0" maxValue="1" count="3">
        <n v="0"/>
        <n v="1"/>
        <e v="#N/A"/>
      </sharedItems>
    </cacheField>
    <cacheField name="Points" numFmtId="2">
      <sharedItems containsMixedTypes="1" containsNumber="1" minValue="0" maxValue="3.4"/>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9">
  <r>
    <s v="Alan Rogers"/>
    <x v="0"/>
  </r>
  <r>
    <s v="Nigel Heyes"/>
    <x v="0"/>
  </r>
  <r>
    <s v="Simon Greenhalgh"/>
    <x v="0"/>
  </r>
  <r>
    <s v="Nick Blocksidge"/>
    <x v="0"/>
  </r>
  <r>
    <s v="Lennie Bow"/>
    <x v="0"/>
  </r>
  <r>
    <s v="Paul Allen"/>
    <x v="0"/>
  </r>
  <r>
    <s v="Barry Birchall"/>
    <x v="0"/>
  </r>
  <r>
    <s v="Kevin Carter"/>
    <x v="0"/>
  </r>
  <r>
    <s v="Tom Robinson"/>
    <x v="1"/>
  </r>
  <r>
    <s v="Martin Tarbuck"/>
    <x v="1"/>
  </r>
  <r>
    <s v="Graham Miller"/>
    <x v="1"/>
  </r>
  <r>
    <s v="Chris Griffin"/>
    <x v="1"/>
  </r>
  <r>
    <s v="Mark Saunders"/>
    <x v="1"/>
  </r>
  <r>
    <s v="Gerard Ventom"/>
    <x v="1"/>
  </r>
  <r>
    <s v="Ben Rosser"/>
    <x v="1"/>
  </r>
  <r>
    <s v="Chris Luck"/>
    <x v="1"/>
  </r>
  <r>
    <s v="Mark Bunn"/>
    <x v="0"/>
  </r>
  <r>
    <s v="Steve Carter"/>
    <x v="0"/>
  </r>
  <r>
    <s v="Mike Penk"/>
    <x v="0"/>
  </r>
  <r>
    <s v="Gareth Powell"/>
    <x v="0"/>
  </r>
  <r>
    <s v="Alan White"/>
    <x v="0"/>
  </r>
  <r>
    <s v="Howard Bradley"/>
    <x v="0"/>
  </r>
  <r>
    <s v="Paul Barnes"/>
    <x v="0"/>
  </r>
  <r>
    <s v="Rob England"/>
    <x v="0"/>
  </r>
  <r>
    <s v="Frank Allen"/>
    <x v="1"/>
  </r>
  <r>
    <s v="Stephen Barr"/>
    <x v="1"/>
  </r>
  <r>
    <s v="David Dunn"/>
    <x v="2"/>
  </r>
  <r>
    <s v="Chris Bow"/>
    <x v="2"/>
  </r>
  <r>
    <s v="Alick Rocca"/>
    <x v="2"/>
  </r>
  <r>
    <s v="Dan Gibbard"/>
    <x v="2"/>
  </r>
  <r>
    <s v="Paul Adderley"/>
    <x v="2"/>
  </r>
  <r>
    <s v="Andy White"/>
    <x v="2"/>
  </r>
  <r>
    <s v="Vinny Topping"/>
    <x v="1"/>
  </r>
  <r>
    <s v="Jack Walsh"/>
    <x v="1"/>
  </r>
  <r>
    <s v="Paul Fairhurst"/>
    <x v="1"/>
  </r>
  <r>
    <s v="Dave Bell"/>
    <x v="1"/>
  </r>
  <r>
    <s v="Katy Savory"/>
    <x v="1"/>
  </r>
  <r>
    <s v="Phil Miller"/>
    <x v="1"/>
  </r>
  <r>
    <s v="Charlie Griffiths"/>
    <x v="2"/>
  </r>
  <r>
    <s v="Bob Bailey"/>
    <x v="2"/>
  </r>
  <r>
    <s v="Julie Dodd"/>
    <x v="2"/>
  </r>
  <r>
    <s v="Steve Waterhouse"/>
    <x v="2"/>
  </r>
  <r>
    <s v="Alex Griffin"/>
    <x v="2"/>
  </r>
  <r>
    <s v="Dot Bow"/>
    <x v="2"/>
  </r>
  <r>
    <s v="Alan Bond"/>
    <x v="2"/>
  </r>
  <r>
    <s v="Martin Molyneux"/>
    <x v="2"/>
  </r>
  <r>
    <s v="Simon Richardson"/>
    <x v="2"/>
  </r>
  <r>
    <s v="Naaman Boyd"/>
    <x v="2"/>
  </r>
  <r>
    <s v="Steven Naylor"/>
    <x v="2"/>
  </r>
  <r>
    <s v="Simon Kimble"/>
    <x v="2"/>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r>
    <m/>
    <x v="3"/>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
  <r>
    <s v="Division A"/>
    <s v="A1"/>
    <s v="↔"/>
    <n v="1"/>
    <s v="A"/>
    <s v="Paul Barnes"/>
    <s v="A"/>
    <m/>
    <n v="3.859444444444442"/>
    <n v="9"/>
    <n v="15.625"/>
    <x v="0"/>
    <n v="78.75"/>
    <n v="5"/>
    <n v="0"/>
    <n v="83.75"/>
    <n v="15.625"/>
    <n v="15.625"/>
  </r>
  <r>
    <m/>
    <s v="A2"/>
    <s v="↔"/>
    <n v="2"/>
    <s v="A"/>
    <s v="Howard Bradley"/>
    <s v="A"/>
    <m/>
    <n v="1.8999999999999986"/>
    <n v="10"/>
    <n v="-2.375"/>
    <x v="1"/>
    <n v="56.25"/>
    <n v="5"/>
    <n v="0"/>
    <n v="61.25"/>
    <n v="5.2954545454545467"/>
    <n v="-2.375"/>
  </r>
  <r>
    <m/>
    <s v="A3"/>
    <s v="↔"/>
    <n v="3"/>
    <s v="A"/>
    <s v="Rob England"/>
    <s v="A"/>
    <m/>
    <n v="-8.6989177489177489"/>
    <n v="11"/>
    <n v="-5.6363636363636367"/>
    <x v="2"/>
    <n v="40.5"/>
    <n v="0"/>
    <n v="0"/>
    <n v="40.5"/>
    <n v="9.3090909090909122"/>
    <n v="-5.6363636363636367"/>
  </r>
  <r>
    <m/>
    <s v="A4"/>
    <s v="↔"/>
    <n v="4"/>
    <s v="A"/>
    <s v="Nigel Heyes"/>
    <s v="A"/>
    <m/>
    <n v="-10.369008264462805"/>
    <n v="6"/>
    <n v="-7"/>
    <x v="3"/>
    <n v="27"/>
    <n v="10"/>
    <n v="0"/>
    <n v="37"/>
    <n v="21.783249999999999"/>
    <n v="-7"/>
  </r>
  <r>
    <m/>
    <s v="A5"/>
    <s v="↔"/>
    <n v="5"/>
    <s v="A"/>
    <s v="Nick Blocksidge"/>
    <s v="A"/>
    <m/>
    <n v="-12.149350649350648"/>
    <n v="10"/>
    <n v="-2.0909090909090899"/>
    <x v="1"/>
    <n v="15.75"/>
    <n v="0"/>
    <n v="0"/>
    <n v="15.75"/>
    <n v="18.000000000000004"/>
    <n v="-2.0909090909090899"/>
  </r>
  <r>
    <m/>
    <s v="A6"/>
    <s v="↔"/>
    <n v="6"/>
    <s v="A"/>
    <s v="Alan Rogers"/>
    <s v="A"/>
    <m/>
    <n v="-14.09"/>
    <n v="6"/>
    <n v="9.16"/>
    <x v="1"/>
    <n v="6.75"/>
    <n v="0"/>
    <n v="0"/>
    <n v="6.75"/>
    <n v="44.337999999999994"/>
    <n v="9.16"/>
  </r>
  <r>
    <m/>
    <s v="A7"/>
    <s v="↔"/>
    <n v="7"/>
    <s v="A"/>
    <s v="Steve Carter"/>
    <s v="A"/>
    <m/>
    <n v="-15.678888888888888"/>
    <n v="8"/>
    <n v="2.7100000000000009"/>
    <x v="1"/>
    <n v="0"/>
    <n v="0"/>
    <n v="0"/>
    <n v="0"/>
    <n v="40.195"/>
    <n v="2.7100000000000009"/>
  </r>
  <r>
    <m/>
    <s v="A8"/>
    <s v="↔"/>
    <n v="8"/>
    <s v="A"/>
    <s v="Kevin Carter"/>
    <s v="A"/>
    <m/>
    <n v="-16.982063492063489"/>
    <n v="8"/>
    <n v="-5.35"/>
    <x v="2"/>
    <n v="0"/>
    <n v="0"/>
    <n v="0"/>
    <n v="0"/>
    <n v="11.059615384615384"/>
    <n v="-5.35"/>
  </r>
  <r>
    <m/>
    <s v="A9"/>
    <s v="Play-off"/>
    <n v="9"/>
    <s v="A"/>
    <s v="Mike Penk"/>
    <s v="A"/>
    <m/>
    <n v="-18.336363636363636"/>
    <n v="6"/>
    <n v="-4.8"/>
    <x v="2"/>
    <n v="0"/>
    <n v="0"/>
    <n v="0"/>
    <n v="0"/>
    <n v="20.672000000000004"/>
    <n v="-4.8"/>
  </r>
  <r>
    <m/>
    <s v="A10"/>
    <s v="Play-off"/>
    <n v="10"/>
    <s v="A"/>
    <s v="Lennie Bow"/>
    <s v="A"/>
    <m/>
    <n v="-20.414797323888234"/>
    <n v="8"/>
    <n v="-7"/>
    <x v="3"/>
    <n v="0"/>
    <n v="0"/>
    <n v="0"/>
    <n v="0"/>
    <n v="12.498076923076923"/>
    <n v="-7"/>
  </r>
  <r>
    <m/>
    <s v="A11"/>
    <s v="↓"/>
    <n v="11"/>
    <s v="A"/>
    <s v="Barry Birchall"/>
    <s v="A"/>
    <m/>
    <n v="-25.903181818181814"/>
    <n v="6"/>
    <n v="-5.6363636363636367"/>
    <x v="2"/>
    <n v="0"/>
    <n v="0"/>
    <n v="0"/>
    <n v="0"/>
    <n v="10.854545454545452"/>
    <n v="-5.6363636363636367"/>
  </r>
  <r>
    <m/>
    <s v="A12"/>
    <s v="↓"/>
    <n v="12"/>
    <s v="A"/>
    <s v="Simon Greenhalgh"/>
    <s v="A"/>
    <m/>
    <n v="-27.5"/>
    <n v="6"/>
    <n v="-1.75"/>
    <x v="1"/>
    <n v="0"/>
    <n v="0"/>
    <n v="0"/>
    <n v="0"/>
    <n v="8.3461538461538467"/>
    <n v="-1.75"/>
  </r>
  <r>
    <m/>
    <s v="A13"/>
    <s v="↓"/>
    <n v="13"/>
    <s v="A"/>
    <s v="Alan White"/>
    <s v="A"/>
    <m/>
    <n v="-29.356363636363636"/>
    <n v="4"/>
    <n v="-5.6363636363636367"/>
    <x v="2"/>
    <n v="0"/>
    <n v="0"/>
    <n v="0"/>
    <n v="0"/>
    <n v="10.854545454545455"/>
    <n v="-5.6363636363636367"/>
  </r>
  <r>
    <m/>
    <s v="A14"/>
    <s v="↓"/>
    <n v="14"/>
    <s v="A"/>
    <s v="Gareth Powell"/>
    <s v="A"/>
    <m/>
    <n v="-32.25"/>
    <n v="4"/>
    <n v="-7"/>
    <x v="3"/>
    <n v="0"/>
    <n v="0"/>
    <n v="0"/>
    <n v="0"/>
    <n v="65.5"/>
    <n v="-7"/>
  </r>
  <r>
    <m/>
    <s v="A15"/>
    <s v="↓"/>
    <n v="15"/>
    <s v="A"/>
    <s v="Mark Bunn"/>
    <s v="A"/>
    <m/>
    <n v="-32.550000000000004"/>
    <n v="4"/>
    <n v="-4.5999999999999996"/>
    <x v="2"/>
    <n v="0"/>
    <n v="0"/>
    <n v="0"/>
    <n v="0"/>
    <n v="34.516999999999996"/>
    <n v="-4.5999999999999996"/>
  </r>
  <r>
    <m/>
    <s v="A16"/>
    <s v="↓"/>
    <n v="16"/>
    <s v="A"/>
    <s v="Paul Allen"/>
    <s v="A"/>
    <m/>
    <n v="-38.678571428571431"/>
    <n v="2"/>
    <n v="-7"/>
    <x v="3"/>
    <n v="0"/>
    <n v="0"/>
    <n v="0"/>
    <n v="0"/>
    <n v="69.571999999999989"/>
    <n v="-7"/>
  </r>
  <r>
    <s v="Division B"/>
    <s v="B1"/>
    <s v="↑"/>
    <n v="1"/>
    <s v="B"/>
    <s v="Paul Fairhurst"/>
    <s v="B"/>
    <m/>
    <n v="36.950000000000003"/>
    <n v="11"/>
    <n v="16.990000000000002"/>
    <x v="0"/>
    <n v="55.125"/>
    <n v="25"/>
    <n v="0"/>
    <n v="80.125"/>
    <n v="16.990000000000002"/>
    <n v="16.990000000000002"/>
  </r>
  <r>
    <m/>
    <s v="B2"/>
    <s v="↑"/>
    <n v="2"/>
    <s v="B"/>
    <s v="Phil Miller"/>
    <s v="B"/>
    <m/>
    <n v="22.785085914085911"/>
    <n v="10"/>
    <n v="-1.4000000000000004"/>
    <x v="1"/>
    <n v="39.375"/>
    <n v="15"/>
    <n v="0"/>
    <n v="54.375"/>
    <n v="7.0857142857142854"/>
    <n v="-1.4000000000000004"/>
  </r>
  <r>
    <m/>
    <s v="B3"/>
    <s v="↑"/>
    <n v="3"/>
    <s v="B"/>
    <s v="Frank Allen"/>
    <s v="B"/>
    <m/>
    <n v="6.2209090909090916"/>
    <n v="10"/>
    <n v="0.59090909090909083"/>
    <x v="1"/>
    <n v="28.35"/>
    <n v="5"/>
    <n v="0"/>
    <n v="33.35"/>
    <n v="29.799999999999997"/>
    <n v="0.59090909090909083"/>
  </r>
  <r>
    <m/>
    <s v="B4"/>
    <s v="↑"/>
    <n v="4"/>
    <s v="B"/>
    <s v="Gerard Ventom"/>
    <s v="B"/>
    <m/>
    <n v="0.77499999999999858"/>
    <n v="6"/>
    <n v="9.6000000000000014"/>
    <x v="1"/>
    <n v="18.899999999999999"/>
    <n v="12.5"/>
    <n v="0"/>
    <n v="31.4"/>
    <n v="53.6"/>
    <n v="9.6000000000000014"/>
  </r>
  <r>
    <m/>
    <s v="B5"/>
    <s v="↑"/>
    <n v="5"/>
    <s v="B"/>
    <s v="Mark Saunders"/>
    <s v="B"/>
    <m/>
    <n v="-9.7723214285714306"/>
    <n v="7"/>
    <n v="14.65625"/>
    <x v="0"/>
    <n v="11.025"/>
    <n v="5"/>
    <n v="0"/>
    <n v="16.024999999999999"/>
    <n v="14.65625"/>
    <n v="14.65625"/>
  </r>
  <r>
    <m/>
    <s v="B6"/>
    <s v="↑"/>
    <n v="6"/>
    <s v="B"/>
    <s v="Vinny Topping"/>
    <s v="B"/>
    <m/>
    <n v="-11.387727272727272"/>
    <n v="7"/>
    <n v="-5.2727272727272725"/>
    <x v="2"/>
    <n v="4.7249999999999996"/>
    <n v="5"/>
    <n v="0"/>
    <n v="9.7249999999999996"/>
    <n v="15.706818181818178"/>
    <n v="-5.2727272727272725"/>
  </r>
  <r>
    <m/>
    <s v="B7"/>
    <s v="Play-off"/>
    <n v="7"/>
    <s v="B"/>
    <s v="Tom Robinson"/>
    <s v="B"/>
    <m/>
    <n v="-14.828409090909091"/>
    <n v="8"/>
    <n v="2.25"/>
    <x v="1"/>
    <n v="0"/>
    <n v="0"/>
    <n v="0"/>
    <n v="0"/>
    <n v="21.212499999999999"/>
    <n v="2.25"/>
  </r>
  <r>
    <m/>
    <s v="B8"/>
    <s v="Play-off"/>
    <n v="8"/>
    <s v="B"/>
    <s v="Ben Rosser"/>
    <s v="B"/>
    <m/>
    <n v="-15.609999999999998"/>
    <n v="5"/>
    <n v="5.9399999999999995"/>
    <x v="1"/>
    <n v="0"/>
    <n v="0"/>
    <n v="0"/>
    <n v="0"/>
    <n v="42.184000000000005"/>
    <n v="5.9399999999999995"/>
  </r>
  <r>
    <m/>
    <s v="B9"/>
    <s v="Play-off"/>
    <n v="9"/>
    <s v="B"/>
    <s v="Jack Walsh"/>
    <s v="B"/>
    <m/>
    <n v="-15.649090909090908"/>
    <n v="8"/>
    <n v="-4.8"/>
    <x v="2"/>
    <n v="0"/>
    <n v="0"/>
    <n v="0"/>
    <n v="0"/>
    <n v="22.338461538461541"/>
    <n v="-4.8"/>
  </r>
  <r>
    <m/>
    <s v="B10"/>
    <s v="Play-off"/>
    <n v="10"/>
    <s v="B"/>
    <s v="Stephen Barr"/>
    <s v="B"/>
    <m/>
    <n v="-15.702727272727273"/>
    <n v="6"/>
    <n v="-5.2727272727272725"/>
    <x v="2"/>
    <n v="0"/>
    <n v="5"/>
    <n v="0"/>
    <n v="5"/>
    <n v="13.755244755244753"/>
    <n v="-5.2727272727272725"/>
  </r>
  <r>
    <m/>
    <s v="B11"/>
    <s v="↓"/>
    <n v="11"/>
    <s v="B"/>
    <s v="Dave Bell"/>
    <s v="B"/>
    <m/>
    <n v="-17.649999999999999"/>
    <n v="4"/>
    <n v="6.35"/>
    <x v="1"/>
    <n v="0"/>
    <n v="0"/>
    <n v="0"/>
    <n v="0"/>
    <n v="78.099999999999994"/>
    <n v="6.35"/>
  </r>
  <r>
    <m/>
    <s v="B12"/>
    <s v="↓"/>
    <n v="12"/>
    <s v="B"/>
    <s v="Chris Luck"/>
    <s v="B"/>
    <m/>
    <n v="-20.5"/>
    <n v="3"/>
    <n v="-7"/>
    <x v="3"/>
    <n v="0"/>
    <n v="5"/>
    <n v="0"/>
    <n v="5"/>
    <n v="26.177500000000002"/>
    <n v="-7"/>
  </r>
  <r>
    <m/>
    <s v="B13"/>
    <s v="↓"/>
    <n v="13"/>
    <s v="B"/>
    <s v="Martin Tarbuck"/>
    <s v="B"/>
    <m/>
    <n v="-25.856363636363632"/>
    <n v="5"/>
    <n v="-7"/>
    <x v="3"/>
    <n v="0"/>
    <n v="5"/>
    <n v="0"/>
    <n v="5"/>
    <s v=""/>
    <n v="-10"/>
  </r>
  <r>
    <m/>
    <s v="B14"/>
    <s v="↓"/>
    <n v="14"/>
    <s v="B"/>
    <s v="Katy Savory"/>
    <s v="B"/>
    <m/>
    <n v="-26.416666666666664"/>
    <n v="4"/>
    <n v="-7"/>
    <x v="3"/>
    <n v="0"/>
    <n v="0"/>
    <n v="0"/>
    <n v="0"/>
    <n v="33.440000000000005"/>
    <n v="-7"/>
  </r>
  <r>
    <m/>
    <s v="B15"/>
    <s v="↓"/>
    <n v="15"/>
    <s v="B"/>
    <s v="Graham Miller"/>
    <s v="B"/>
    <m/>
    <n v="-36.049999999999997"/>
    <n v="3"/>
    <n v="-5.5"/>
    <x v="2"/>
    <n v="0"/>
    <n v="0"/>
    <n v="0"/>
    <n v="0"/>
    <n v="16.800000000000004"/>
    <n v="-5.5"/>
  </r>
  <r>
    <m/>
    <s v="B16"/>
    <s v="↓"/>
    <n v="16"/>
    <s v="B"/>
    <s v="Chris Griffin"/>
    <s v="B"/>
    <m/>
    <n v="-36.518181818181816"/>
    <n v="3"/>
    <n v="-7"/>
    <x v="3"/>
    <n v="0"/>
    <n v="0"/>
    <n v="0"/>
    <n v="0"/>
    <n v="58.74799999999999"/>
    <n v="-7"/>
  </r>
  <r>
    <s v="Division C"/>
    <s v="C1"/>
    <s v="↑"/>
    <n v="1"/>
    <s v="C"/>
    <s v="Steve Waterhouse"/>
    <s v="C"/>
    <m/>
    <n v="32.941796085858584"/>
    <n v="12"/>
    <n v="-5.6363636363636367"/>
    <x v="2"/>
    <n v="23.625"/>
    <n v="20"/>
    <n v="0"/>
    <n v="43.625"/>
    <n v="10.530909090909091"/>
    <n v="-5.6363636363636367"/>
  </r>
  <r>
    <m/>
    <s v="C2"/>
    <s v="↑"/>
    <n v="2"/>
    <s v="C"/>
    <s v="Simon Kimble"/>
    <s v="C"/>
    <m/>
    <n v="17.555000000000003"/>
    <n v="9"/>
    <n v="-7"/>
    <x v="3"/>
    <n v="16.875"/>
    <n v="10"/>
    <n v="0"/>
    <n v="26.875"/>
    <n v="50.719000000000001"/>
    <n v="-7"/>
  </r>
  <r>
    <m/>
    <s v="C3"/>
    <s v="↑"/>
    <n v="3"/>
    <s v="C"/>
    <s v="Alick Rocca"/>
    <s v="C"/>
    <m/>
    <n v="-4.8249999999999993"/>
    <n v="5"/>
    <n v="9.6000000000000014"/>
    <x v="1"/>
    <n v="12.15"/>
    <n v="7.5"/>
    <n v="0"/>
    <n v="19.649999999999999"/>
    <n v="72.960000000000008"/>
    <n v="9.6000000000000014"/>
  </r>
  <r>
    <m/>
    <s v="C4"/>
    <s v="↑"/>
    <n v="4"/>
    <s v="C"/>
    <s v="Dot Bow"/>
    <s v="C"/>
    <m/>
    <n v="-8.6601282051282062"/>
    <n v="7"/>
    <n v="-5.15"/>
    <x v="2"/>
    <n v="8.1"/>
    <n v="0"/>
    <n v="0"/>
    <n v="8.1"/>
    <n v="44.725000000000009"/>
    <n v="-5.15"/>
  </r>
  <r>
    <m/>
    <s v="C5"/>
    <s v="↑"/>
    <n v="5"/>
    <s v="C"/>
    <s v="Alex Griffin"/>
    <s v="C"/>
    <m/>
    <n v="-9.3671900826446262"/>
    <n v="8"/>
    <n v="-4.8"/>
    <x v="2"/>
    <n v="4.7249999999999996"/>
    <n v="0"/>
    <n v="0"/>
    <n v="4.7249999999999996"/>
    <n v="17.080000000000005"/>
    <n v="-4.8"/>
  </r>
  <r>
    <m/>
    <s v="C6"/>
    <s v="↑"/>
    <n v="6"/>
    <s v="C"/>
    <s v="Alan Bond"/>
    <s v="C"/>
    <m/>
    <n v="-10.729999999999995"/>
    <n v="6"/>
    <n v="-3.9"/>
    <x v="2"/>
    <n v="2.0249999999999999"/>
    <n v="5"/>
    <n v="0"/>
    <n v="7.0250000000000004"/>
    <n v="64.283000000000001"/>
    <n v="-3.9"/>
  </r>
  <r>
    <m/>
    <s v="C7"/>
    <s v="Play-off"/>
    <n v="7"/>
    <s v="C"/>
    <s v="Julie Dodd"/>
    <s v="C"/>
    <m/>
    <n v="-12.266477272727276"/>
    <n v="9"/>
    <n v="-5.6363636363636367"/>
    <x v="2"/>
    <n v="0"/>
    <n v="0"/>
    <n v="0"/>
    <n v="0"/>
    <n v="12.545909090909092"/>
    <n v="-5.6363636363636367"/>
  </r>
  <r>
    <m/>
    <s v="C8"/>
    <s v="Play-off"/>
    <n v="8"/>
    <s v="C"/>
    <s v="Naaman Boyd"/>
    <s v="C"/>
    <m/>
    <n v="-15.487619047619049"/>
    <n v="9"/>
    <n v="-5.5"/>
    <x v="2"/>
    <n v="0"/>
    <n v="0"/>
    <n v="0"/>
    <n v="0"/>
    <n v="22.625"/>
    <n v="-5.5"/>
  </r>
  <r>
    <m/>
    <s v="C9"/>
    <s v="↔"/>
    <n v="9"/>
    <s v="C"/>
    <s v="Paul Adderley"/>
    <s v="C"/>
    <m/>
    <n v="-16.026616161616161"/>
    <n v="8"/>
    <n v="-5.2727272727272725"/>
    <x v="2"/>
    <n v="0"/>
    <n v="0"/>
    <n v="0"/>
    <n v="0"/>
    <n v="11.972027972027973"/>
    <n v="-5.2727272727272725"/>
  </r>
  <r>
    <m/>
    <s v="C10"/>
    <s v="↔"/>
    <n v="10"/>
    <s v="C"/>
    <s v="Steven Naylor"/>
    <s v="C"/>
    <m/>
    <n v="-16.119318181818183"/>
    <n v="8"/>
    <n v="-0.875"/>
    <x v="1"/>
    <n v="0"/>
    <n v="0"/>
    <n v="0"/>
    <n v="0"/>
    <n v="11.950000000000003"/>
    <n v="-0.875"/>
  </r>
  <r>
    <m/>
    <s v="C11"/>
    <s v="↔"/>
    <n v="11"/>
    <s v="C"/>
    <s v="David Dunn"/>
    <s v="C"/>
    <m/>
    <n v="-17.364545454545457"/>
    <n v="6"/>
    <n v="-0.55454545454545467"/>
    <x v="1"/>
    <n v="0"/>
    <n v="5"/>
    <n v="0"/>
    <n v="5"/>
    <n v="20.292727272727269"/>
    <n v="-0.55454545454545467"/>
  </r>
  <r>
    <m/>
    <s v="C12"/>
    <s v="↔"/>
    <n v="12"/>
    <s v="C"/>
    <s v="Martin Molyneux"/>
    <s v="C"/>
    <m/>
    <n v="-19.4025"/>
    <n v="6"/>
    <n v="-7"/>
    <x v="3"/>
    <n v="0"/>
    <n v="0"/>
    <n v="0"/>
    <n v="0"/>
    <s v=""/>
    <n v="-10"/>
  </r>
  <r>
    <m/>
    <s v="C13"/>
    <s v="↔"/>
    <n v="13"/>
    <s v="C"/>
    <s v="Bob Bailey"/>
    <s v="C"/>
    <m/>
    <n v="-22.25"/>
    <n v="7"/>
    <n v="-4.5999999999999996"/>
    <x v="2"/>
    <n v="0"/>
    <n v="0"/>
    <n v="0"/>
    <n v="0"/>
    <n v="17.343076923076922"/>
    <n v="-4.5999999999999996"/>
  </r>
  <r>
    <m/>
    <s v="C14"/>
    <s v="↔"/>
    <n v="14"/>
    <s v="C"/>
    <s v="Simon Richardson"/>
    <s v="C"/>
    <m/>
    <n v="-23.989305139305142"/>
    <n v="7"/>
    <n v="-4.8"/>
    <x v="2"/>
    <n v="0"/>
    <n v="0"/>
    <n v="0"/>
    <n v="0"/>
    <n v="28.960000000000008"/>
    <n v="-4.8"/>
  </r>
  <r>
    <m/>
    <s v="C15"/>
    <s v="↔"/>
    <n v="15"/>
    <s v="C"/>
    <s v="Charlie Griffiths"/>
    <s v="C"/>
    <m/>
    <n v="-25.734999999999999"/>
    <n v="3"/>
    <n v="-7"/>
    <x v="3"/>
    <n v="0"/>
    <n v="0"/>
    <n v="0"/>
    <n v="0"/>
    <n v="30.587499999999999"/>
    <n v="-7"/>
  </r>
  <r>
    <m/>
    <s v="C16"/>
    <s v="↔"/>
    <n v="16"/>
    <s v="C"/>
    <s v="Chris Bow"/>
    <s v="C"/>
    <m/>
    <n v="-27.1875"/>
    <n v="5"/>
    <n v="-4.8499999999999996"/>
    <x v="2"/>
    <n v="0"/>
    <n v="0"/>
    <n v="0"/>
    <n v="0"/>
    <n v="29.421999999999997"/>
    <n v="-4.8499999999999996"/>
  </r>
  <r>
    <m/>
    <s v="C17"/>
    <s v="↔"/>
    <n v="17"/>
    <s v="C"/>
    <s v="Dan Gibbard"/>
    <s v="C"/>
    <m/>
    <n v="-27.26653846153846"/>
    <n v="6"/>
    <n v="-1.4615384615384617"/>
    <x v="1"/>
    <n v="0"/>
    <n v="0"/>
    <n v="0"/>
    <n v="0"/>
    <n v="9.9807692307692299"/>
    <n v="-1.4615384615384617"/>
  </r>
  <r>
    <m/>
    <s v="C18"/>
    <s v="↔"/>
    <n v="18"/>
    <s v="C"/>
    <s v="Andy White"/>
    <s v="C"/>
    <m/>
    <n v="-31.590909090909093"/>
    <n v="4"/>
    <n v="-4.5999999999999996"/>
    <x v="2"/>
    <n v="0"/>
    <n v="0"/>
    <n v="0"/>
    <n v="0"/>
    <n v="29.944000000000003"/>
    <n v="-4.5999999999999996"/>
  </r>
</pivotCacheRecords>
</file>

<file path=xl/pivotCache/pivotCacheRecords3.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38">
  <r>
    <x v="0"/>
    <s v="21/10"/>
    <n v="3.1"/>
    <x v="0"/>
    <n v="0"/>
  </r>
  <r>
    <x v="1"/>
    <s v="21/10"/>
    <n v="3.1"/>
    <x v="1"/>
    <n v="3.1"/>
  </r>
  <r>
    <x v="2"/>
    <s v="23/10"/>
    <n v="3.3"/>
    <x v="0"/>
    <n v="0"/>
  </r>
  <r>
    <x v="3"/>
    <s v="19/10"/>
    <n v="2.9"/>
    <x v="1"/>
    <n v="2.9"/>
  </r>
  <r>
    <x v="4"/>
    <s v="12/5"/>
    <n v="3.4"/>
    <x v="1"/>
    <n v="3.4"/>
  </r>
  <r>
    <x v="5"/>
    <s v="21/20"/>
    <n v="2.0499999999999998"/>
    <x v="0"/>
    <n v="0"/>
  </r>
  <r>
    <x v="5"/>
    <s v="21/20"/>
    <n v="2.0499999999999998"/>
    <x v="0"/>
    <n v="0"/>
  </r>
  <r>
    <x v="6"/>
    <s v="8/13"/>
    <n v="1.6153846153846154"/>
    <x v="0"/>
    <n v="0"/>
  </r>
  <r>
    <x v="7"/>
    <s v="4/11"/>
    <n v="1.3636363636363638"/>
    <x v="1"/>
    <n v="1.3636363636363638"/>
  </r>
  <r>
    <x v="8"/>
    <s v="6/5"/>
    <n v="2.2000000000000002"/>
    <x v="1"/>
    <n v="2.2000000000000002"/>
  </r>
  <r>
    <x v="9"/>
    <s v="3/4"/>
    <n v="1.75"/>
    <x v="0"/>
    <n v="0"/>
  </r>
  <r>
    <x v="10"/>
    <s v="17/20"/>
    <n v="1.85"/>
    <x v="0"/>
    <n v="0"/>
  </r>
  <r>
    <x v="11"/>
    <s v="12/5"/>
    <n v="3.4"/>
    <x v="1"/>
    <n v="3.4"/>
  </r>
  <r>
    <x v="12"/>
    <s v="13/5"/>
    <n v="3.6"/>
    <x v="0"/>
    <n v="0"/>
  </r>
  <r>
    <x v="13"/>
    <s v="2/1"/>
    <n v="3"/>
    <x v="1"/>
    <n v="3"/>
  </r>
  <r>
    <x v="14"/>
    <s v="11/10"/>
    <n v="2.1"/>
    <x v="0"/>
    <n v="0"/>
  </r>
  <r>
    <x v="15"/>
    <s v="7/5"/>
    <n v="2.4"/>
    <x v="1"/>
    <n v="2.4"/>
  </r>
  <r>
    <x v="16"/>
    <s v="8/5"/>
    <n v="2.6"/>
    <x v="0"/>
    <n v="0"/>
  </r>
  <r>
    <x v="6"/>
    <s v="8/13"/>
    <n v="1.6153846153846154"/>
    <x v="0"/>
    <n v="0"/>
  </r>
  <r>
    <x v="7"/>
    <s v="4/11"/>
    <n v="1.3636363636363638"/>
    <x v="1"/>
    <n v="1.3636363636363638"/>
  </r>
  <r>
    <x v="5"/>
    <s v="21/20"/>
    <n v="2.0499999999999998"/>
    <x v="0"/>
    <n v="0"/>
  </r>
  <r>
    <x v="17"/>
    <s v="21/10"/>
    <n v="3.1"/>
    <x v="1"/>
    <n v="3.1"/>
  </r>
  <r>
    <x v="15"/>
    <s v="7/5"/>
    <n v="2.4"/>
    <x v="1"/>
    <n v="2.4"/>
  </r>
  <r>
    <x v="16"/>
    <s v="8/5"/>
    <n v="2.6"/>
    <x v="0"/>
    <n v="0"/>
  </r>
  <r>
    <x v="6"/>
    <s v="8/13"/>
    <n v="1.6153846153846154"/>
    <x v="0"/>
    <n v="0"/>
  </r>
  <r>
    <x v="10"/>
    <s v="17/20"/>
    <n v="1.85"/>
    <x v="0"/>
    <n v="0"/>
  </r>
  <r>
    <x v="15"/>
    <s v="7/5"/>
    <n v="2.4"/>
    <x v="1"/>
    <n v="2.4"/>
  </r>
  <r>
    <x v="18"/>
    <s v="23/20"/>
    <n v="2.15"/>
    <x v="0"/>
    <n v="0"/>
  </r>
  <r>
    <x v="19"/>
    <s v="6/4"/>
    <n v="2.5"/>
    <x v="0"/>
    <n v="0"/>
  </r>
  <r>
    <x v="20"/>
    <s v="6/4"/>
    <n v="2.5"/>
    <x v="0"/>
    <n v="0"/>
  </r>
  <r>
    <x v="21"/>
    <s v="13/10"/>
    <n v="2.2999999999999998"/>
    <x v="0"/>
    <n v="0"/>
  </r>
  <r>
    <x v="22"/>
    <s v="23/20"/>
    <n v="2.15"/>
    <x v="1"/>
    <n v="2.15"/>
  </r>
  <r>
    <x v="16"/>
    <s v="8/5"/>
    <n v="2.6"/>
    <x v="0"/>
    <n v="0"/>
  </r>
  <r>
    <x v="23"/>
    <s v="12/5"/>
    <n v="3.4"/>
    <x v="0"/>
    <n v="0"/>
  </r>
  <r>
    <x v="24"/>
    <s v="17/10"/>
    <n v="2.7"/>
    <x v="0"/>
    <n v="0"/>
  </r>
  <r>
    <x v="25"/>
    <s v="21/10"/>
    <n v="3.1"/>
    <x v="0"/>
    <n v="0"/>
  </r>
  <r>
    <x v="19"/>
    <s v="6/4"/>
    <n v="2.5"/>
    <x v="0"/>
    <n v="0"/>
  </r>
  <r>
    <x v="18"/>
    <s v="23/20"/>
    <n v="2.15"/>
    <x v="0"/>
    <n v="0"/>
  </r>
  <r>
    <x v="26"/>
    <s v="11/10"/>
    <n v="2.1"/>
    <x v="0"/>
    <n v="0"/>
  </r>
  <r>
    <x v="9"/>
    <s v="3/4"/>
    <n v="1.75"/>
    <x v="0"/>
    <n v="0"/>
  </r>
  <r>
    <x v="27"/>
    <s v="8/13"/>
    <n v="1.6153846153846154"/>
    <x v="1"/>
    <n v="1.6153846153846154"/>
  </r>
  <r>
    <x v="28"/>
    <s v="1/2"/>
    <n v="1.5"/>
    <x v="1"/>
    <n v="1.5"/>
  </r>
  <r>
    <x v="17"/>
    <s v="21/10"/>
    <n v="3.1"/>
    <x v="1"/>
    <n v="3.1"/>
  </r>
  <r>
    <x v="29"/>
    <s v="6/4"/>
    <n v="2.5"/>
    <x v="1"/>
    <n v="2.5"/>
  </r>
  <r>
    <x v="30"/>
    <s v="4/1"/>
    <n v="5"/>
    <x v="0"/>
    <n v="0"/>
  </r>
  <r>
    <x v="22"/>
    <s v="23/20"/>
    <n v="2.15"/>
    <x v="1"/>
    <n v="2.15"/>
  </r>
  <r>
    <x v="31"/>
    <s v="9/5"/>
    <n v="2.8"/>
    <x v="0"/>
    <n v="0"/>
  </r>
  <r>
    <x v="32"/>
    <s v="4/11"/>
    <n v="1.3636363636363638"/>
    <x v="1"/>
    <n v="1.3636363636363638"/>
  </r>
  <r>
    <x v="33"/>
    <s v="3/1"/>
    <n v="4"/>
    <x v="0"/>
    <n v="0"/>
  </r>
  <r>
    <x v="34"/>
    <s v="17/20"/>
    <n v="1.85"/>
    <x v="1"/>
    <n v="1.85"/>
  </r>
  <r>
    <x v="35"/>
    <s v="17/10"/>
    <n v="2.7"/>
    <x v="0"/>
    <n v="0"/>
  </r>
  <r>
    <x v="23"/>
    <s v="12/5"/>
    <n v="3.4"/>
    <x v="0"/>
    <n v="0"/>
  </r>
  <r>
    <x v="36"/>
    <s v="8/11"/>
    <n v="1.7272727272727273"/>
    <x v="1"/>
    <n v="1.7272727272727273"/>
  </r>
  <r>
    <x v="22"/>
    <s v="23/20"/>
    <n v="2.15"/>
    <x v="1"/>
    <n v="2.15"/>
  </r>
  <r>
    <x v="37"/>
    <s v="4/1"/>
    <n v="5"/>
    <x v="0"/>
    <n v="0"/>
  </r>
  <r>
    <x v="19"/>
    <s v="6/4"/>
    <n v="2.5"/>
    <x v="0"/>
    <n v="0"/>
  </r>
  <r>
    <x v="38"/>
    <s v="6/4"/>
    <n v="2.5"/>
    <x v="0"/>
    <n v="0"/>
  </r>
  <r>
    <x v="4"/>
    <s v="12/5"/>
    <n v="3.4"/>
    <x v="1"/>
    <n v="3.4"/>
  </r>
  <r>
    <x v="13"/>
    <s v="2/1"/>
    <n v="3"/>
    <x v="1"/>
    <n v="3"/>
  </r>
  <r>
    <x v="39"/>
    <s v="6/4"/>
    <n v="2.5"/>
    <x v="0"/>
    <n v="0"/>
  </r>
  <r>
    <x v="14"/>
    <s v="11/10"/>
    <n v="2.1"/>
    <x v="0"/>
    <n v="0"/>
  </r>
  <r>
    <x v="40"/>
    <s v="1/2"/>
    <n v="1.5"/>
    <x v="1"/>
    <n v="1.5"/>
  </r>
  <r>
    <x v="41"/>
    <s v="6/5"/>
    <n v="2.2000000000000002"/>
    <x v="0"/>
    <n v="0"/>
  </r>
  <r>
    <x v="42"/>
    <s v="1/4"/>
    <n v="1.25"/>
    <x v="1"/>
    <n v="1.25"/>
  </r>
  <r>
    <x v="28"/>
    <s v="1/2"/>
    <n v="1.5"/>
    <x v="1"/>
    <n v="1.5"/>
  </r>
  <r>
    <x v="43"/>
    <s v="4/11"/>
    <n v="1.3636363636363638"/>
    <x v="0"/>
    <n v="0"/>
  </r>
  <r>
    <x v="8"/>
    <s v="6/5"/>
    <n v="2.2000000000000002"/>
    <x v="1"/>
    <n v="2.2000000000000002"/>
  </r>
  <r>
    <x v="6"/>
    <s v="8/13"/>
    <n v="1.6153846153846154"/>
    <x v="0"/>
    <n v="0"/>
  </r>
  <r>
    <x v="44"/>
    <s v="13/8"/>
    <n v="2.625"/>
    <x v="0"/>
    <n v="0"/>
  </r>
  <r>
    <x v="10"/>
    <s v="17/20"/>
    <n v="1.85"/>
    <x v="0"/>
    <n v="0"/>
  </r>
  <r>
    <x v="5"/>
    <s v="21/20"/>
    <n v="2.0499999999999998"/>
    <x v="0"/>
    <n v="0"/>
  </r>
  <r>
    <x v="7"/>
    <s v="4/11"/>
    <n v="1.3636363636363638"/>
    <x v="1"/>
    <n v="1.3636363636363638"/>
  </r>
  <r>
    <x v="35"/>
    <s v="17/10"/>
    <n v="2.7"/>
    <x v="0"/>
    <n v="0"/>
  </r>
  <r>
    <x v="41"/>
    <s v="6/5"/>
    <n v="2.2000000000000002"/>
    <x v="0"/>
    <n v="0"/>
  </r>
  <r>
    <x v="45"/>
    <s v="6/4"/>
    <n v="2.5"/>
    <x v="0"/>
    <n v="0"/>
  </r>
  <r>
    <x v="6"/>
    <s v="8/13"/>
    <n v="1.6153846153846154"/>
    <x v="0"/>
    <n v="0"/>
  </r>
  <r>
    <x v="46"/>
    <s v="13/20"/>
    <n v="1.65"/>
    <x v="1"/>
    <n v="1.65"/>
  </r>
  <r>
    <x v="9"/>
    <s v="3/4"/>
    <n v="1.75"/>
    <x v="0"/>
    <n v="0"/>
  </r>
  <r>
    <x v="47"/>
    <s v="17/20"/>
    <n v="1.85"/>
    <x v="0"/>
    <n v="0"/>
  </r>
  <r>
    <x v="6"/>
    <s v="8/13"/>
    <n v="1.6153846153846154"/>
    <x v="0"/>
    <n v="0"/>
  </r>
  <r>
    <x v="9"/>
    <s v="3/4"/>
    <n v="1.75"/>
    <x v="0"/>
    <n v="0"/>
  </r>
  <r>
    <x v="48"/>
    <s v="21/10"/>
    <n v="3.1"/>
    <x v="0"/>
    <n v="0"/>
  </r>
  <r>
    <x v="5"/>
    <s v="21/20"/>
    <n v="2.0499999999999998"/>
    <x v="0"/>
    <n v="0"/>
  </r>
  <r>
    <x v="49"/>
    <s v="7/5"/>
    <n v="2.4"/>
    <x v="1"/>
    <n v="2.4"/>
  </r>
  <r>
    <x v="50"/>
    <s v="13/8"/>
    <n v="2.625"/>
    <x v="1"/>
    <n v="2.625"/>
  </r>
  <r>
    <x v="51"/>
    <s v="1/2"/>
    <n v="1.5"/>
    <x v="1"/>
    <n v="1.5"/>
  </r>
  <r>
    <x v="52"/>
    <s v="1/2"/>
    <n v="1.5"/>
    <x v="1"/>
    <n v="1.5"/>
  </r>
  <r>
    <x v="53"/>
    <e v="#N/A"/>
    <e v="#N/A"/>
    <x v="2"/>
    <e v="#N/A"/>
  </r>
  <r>
    <x v="53"/>
    <e v="#N/A"/>
    <e v="#N/A"/>
    <x v="2"/>
    <e v="#N/A"/>
  </r>
  <r>
    <x v="53"/>
    <e v="#N/A"/>
    <e v="#N/A"/>
    <x v="2"/>
    <e v="#N/A"/>
  </r>
  <r>
    <x v="53"/>
    <e v="#N/A"/>
    <e v="#N/A"/>
    <x v="2"/>
    <e v="#N/A"/>
  </r>
  <r>
    <x v="53"/>
    <e v="#N/A"/>
    <e v="#N/A"/>
    <x v="2"/>
    <e v="#N/A"/>
  </r>
  <r>
    <x v="53"/>
    <e v="#N/A"/>
    <e v="#N/A"/>
    <x v="2"/>
    <e v="#N/A"/>
  </r>
  <r>
    <x v="54"/>
    <s v="4/5"/>
    <n v="1.8"/>
    <x v="0"/>
    <n v="0"/>
  </r>
  <r>
    <x v="41"/>
    <s v="6/5"/>
    <n v="2.2000000000000002"/>
    <x v="0"/>
    <n v="0"/>
  </r>
  <r>
    <x v="8"/>
    <s v="6/5"/>
    <n v="2.2000000000000002"/>
    <x v="1"/>
    <n v="2.2000000000000002"/>
  </r>
  <r>
    <x v="45"/>
    <s v="6/4"/>
    <n v="2.5"/>
    <x v="0"/>
    <n v="0"/>
  </r>
  <r>
    <x v="39"/>
    <s v="6/4"/>
    <n v="2.5"/>
    <x v="0"/>
    <n v="0"/>
  </r>
  <r>
    <x v="51"/>
    <s v="1/2"/>
    <n v="1.5"/>
    <x v="1"/>
    <n v="1.5"/>
  </r>
  <r>
    <x v="7"/>
    <s v="4/11"/>
    <n v="1.3636363636363638"/>
    <x v="1"/>
    <n v="1.3636363636363638"/>
  </r>
  <r>
    <x v="51"/>
    <s v="1/2"/>
    <n v="1.5"/>
    <x v="1"/>
    <n v="1.5"/>
  </r>
  <r>
    <x v="23"/>
    <s v="12/5"/>
    <n v="3.4"/>
    <x v="0"/>
    <n v="0"/>
  </r>
  <r>
    <x v="18"/>
    <s v="23/20"/>
    <n v="2.15"/>
    <x v="0"/>
    <n v="0"/>
  </r>
  <r>
    <x v="26"/>
    <s v="11/10"/>
    <n v="2.1"/>
    <x v="0"/>
    <n v="0"/>
  </r>
  <r>
    <x v="5"/>
    <s v="21/20"/>
    <n v="2.0499999999999998"/>
    <x v="0"/>
    <n v="0"/>
  </r>
  <r>
    <x v="54"/>
    <s v="4/5"/>
    <n v="1.8"/>
    <x v="0"/>
    <n v="0"/>
  </r>
  <r>
    <x v="6"/>
    <s v="8/13"/>
    <n v="1.6153846153846154"/>
    <x v="0"/>
    <n v="0"/>
  </r>
  <r>
    <x v="36"/>
    <s v="8/11"/>
    <n v="1.7272727272727273"/>
    <x v="1"/>
    <n v="1.7272727272727273"/>
  </r>
  <r>
    <x v="23"/>
    <s v="12/5"/>
    <n v="3.4"/>
    <x v="0"/>
    <n v="0"/>
  </r>
  <r>
    <x v="55"/>
    <s v="23/10"/>
    <n v="3.3"/>
    <x v="0"/>
    <n v="0"/>
  </r>
  <r>
    <x v="25"/>
    <s v="21/10"/>
    <n v="3.1"/>
    <x v="0"/>
    <n v="0"/>
  </r>
  <r>
    <x v="52"/>
    <s v="1/2"/>
    <n v="1.5"/>
    <x v="1"/>
    <n v="1.5"/>
  </r>
  <r>
    <x v="56"/>
    <s v="7/10"/>
    <n v="1.7"/>
    <x v="1"/>
    <n v="1.7"/>
  </r>
  <r>
    <x v="29"/>
    <s v="6/4"/>
    <n v="2.5"/>
    <x v="1"/>
    <n v="2.5"/>
  </r>
  <r>
    <x v="15"/>
    <s v="7/5"/>
    <n v="2.4"/>
    <x v="1"/>
    <n v="2.4"/>
  </r>
  <r>
    <x v="57"/>
    <s v="1/10"/>
    <n v="1.1000000000000001"/>
    <x v="1"/>
    <n v="1.1000000000000001"/>
  </r>
  <r>
    <x v="29"/>
    <s v="6/4"/>
    <n v="2.5"/>
    <x v="1"/>
    <n v="2.5"/>
  </r>
  <r>
    <x v="58"/>
    <s v="7/10"/>
    <n v="1.7"/>
    <x v="1"/>
    <n v="1.7"/>
  </r>
  <r>
    <x v="59"/>
    <s v="4/9"/>
    <n v="1.4444444444444444"/>
    <x v="1"/>
    <n v="1.4444444444444444"/>
  </r>
  <r>
    <x v="60"/>
    <s v="2/7"/>
    <n v="1.2857142857142856"/>
    <x v="0"/>
    <n v="0"/>
  </r>
  <r>
    <x v="6"/>
    <s v="8/13"/>
    <n v="1.6153846153846154"/>
    <x v="0"/>
    <n v="0"/>
  </r>
  <r>
    <x v="7"/>
    <s v="4/11"/>
    <n v="1.3636363636363638"/>
    <x v="1"/>
    <n v="1.3636363636363638"/>
  </r>
  <r>
    <x v="61"/>
    <s v="4/5"/>
    <n v="1.8"/>
    <x v="0"/>
    <n v="0"/>
  </r>
  <r>
    <x v="6"/>
    <s v="8/13"/>
    <n v="1.6153846153846154"/>
    <x v="0"/>
    <n v="0"/>
  </r>
  <r>
    <x v="40"/>
    <s v="1/2"/>
    <n v="1.5"/>
    <x v="1"/>
    <n v="1.5"/>
  </r>
  <r>
    <x v="51"/>
    <s v="1/2"/>
    <n v="1.5"/>
    <x v="1"/>
    <n v="1.5"/>
  </r>
  <r>
    <x v="62"/>
    <s v="29/20"/>
    <n v="2.4500000000000002"/>
    <x v="0"/>
    <n v="0"/>
  </r>
  <r>
    <x v="12"/>
    <s v="13/5"/>
    <n v="3.6"/>
    <x v="0"/>
    <n v="0"/>
  </r>
  <r>
    <x v="24"/>
    <s v="17/10"/>
    <n v="2.7"/>
    <x v="0"/>
    <n v="0"/>
  </r>
  <r>
    <x v="8"/>
    <s v="6/5"/>
    <n v="2.2000000000000002"/>
    <x v="1"/>
    <n v="2.2000000000000002"/>
  </r>
  <r>
    <x v="63"/>
    <s v="11/5"/>
    <n v="3.2"/>
    <x v="0"/>
    <n v="0"/>
  </r>
  <r>
    <x v="9"/>
    <s v="3/4"/>
    <n v="1.75"/>
    <x v="0"/>
    <n v="0"/>
  </r>
  <r>
    <x v="36"/>
    <s v="8/11"/>
    <n v="1.7272727272727273"/>
    <x v="1"/>
    <n v="1.7272727272727273"/>
  </r>
  <r>
    <x v="6"/>
    <s v="8/13"/>
    <n v="1.6153846153846154"/>
    <x v="0"/>
    <n v="0"/>
  </r>
  <r>
    <x v="5"/>
    <s v="21/20"/>
    <n v="2.0499999999999998"/>
    <x v="0"/>
    <n v="0"/>
  </r>
  <r>
    <x v="22"/>
    <s v="23/20"/>
    <n v="2.15"/>
    <x v="1"/>
    <n v="2.15"/>
  </r>
  <r>
    <x v="15"/>
    <s v="7/5"/>
    <n v="2.4"/>
    <x v="1"/>
    <n v="2.4"/>
  </r>
  <r>
    <x v="64"/>
    <s v="5/2"/>
    <n v="3.5"/>
    <x v="0"/>
    <n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1705F975-D5AC-4D02-88AB-BE8B5E629D59}" name="PivotTable1" cacheId="3"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D2:E7" firstHeaderRow="1" firstDataRow="1" firstDataCol="1"/>
  <pivotFields count="2">
    <pivotField dataField="1" showAll="0"/>
    <pivotField axis="axisRow" showAll="0">
      <items count="5">
        <item x="0"/>
        <item x="1"/>
        <item x="2"/>
        <item x="3"/>
        <item t="default"/>
      </items>
    </pivotField>
  </pivotFields>
  <rowFields count="1">
    <field x="1"/>
  </rowFields>
  <rowItems count="5">
    <i>
      <x/>
    </i>
    <i>
      <x v="1"/>
    </i>
    <i>
      <x v="2"/>
    </i>
    <i>
      <x v="3"/>
    </i>
    <i t="grand">
      <x/>
    </i>
  </rowItems>
  <colItems count="1">
    <i/>
  </colItems>
  <dataFields count="1">
    <dataField name="Count of Players" fld="0"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51DA6CDD-FB90-4185-BED9-1AC52529CDA7}" name="PivotTable1" cacheId="9" dataOnRows="1" applyNumberFormats="0" applyBorderFormats="0" applyFontFormats="0" applyPatternFormats="0" applyAlignmentFormats="0" applyWidthHeightFormats="1" dataCaption="Data" updatedVersion="8" minRefreshableVersion="3" showMemberPropertyTips="0" useAutoFormatting="1" itemPrintTitles="1" createdVersion="6" indent="0" compact="0" compactData="0" gridDropZones="1">
  <location ref="A3:B9" firstHeaderRow="2" firstDataRow="2" firstDataCol="1"/>
  <pivotFields count="18">
    <pivotField compact="0" outline="0" subtotalTop="0" showAll="0" defaultSubtotal="0"/>
    <pivotField compact="0" outline="0" subtotalTop="0" showAll="0" includeNewItemsInFilter="1"/>
    <pivotField compact="0" outline="0" subtotalTop="0" showAll="0" defaultSubtotal="0"/>
    <pivotField compact="0" outline="0" subtotalTop="0" showAll="0" defaultSubtotal="0"/>
    <pivotField compact="0" outline="0" subtotalTop="0" showAll="0" defaultSubtotal="0"/>
    <pivotField dataField="1" compact="0" outline="0" subtotalTop="0" showAll="0" includeNewItemsInFilter="1"/>
    <pivotField compact="0" outline="0" subtotalTop="0" showAll="0" defaultSubtotal="0"/>
    <pivotField compact="0" outline="0" subtotalTop="0" showAll="0" defaultSubtotal="0"/>
    <pivotField compact="0" outline="0" subtotalTop="0" showAll="0" includeNewItemsInFilter="1"/>
    <pivotField compact="0" outline="0" subtotalTop="0" showAll="0" includeNewItemsInFilter="1"/>
    <pivotField compact="0" outline="0" subtotalTop="0" showAll="0" includeNewItemsInFilter="1"/>
    <pivotField axis="axisRow" compact="0" outline="0" subtotalTop="0" showAll="0" includeNewItemsInFilter="1">
      <items count="5">
        <item x="3"/>
        <item x="2"/>
        <item x="1"/>
        <item x="0"/>
        <item t="default"/>
      </items>
    </pivotField>
    <pivotField compact="0" outline="0" subtotalTop="0" showAll="0" includeNewItemsInFilter="1" defaultSubtotal="0"/>
    <pivotField compact="0" outline="0" subtotalTop="0" showAll="0" includeNewItemsInFilter="1" defaultSubtotal="0"/>
    <pivotField compact="0" outline="0" subtotalTop="0" showAll="0" includeNewItemsInFilter="1"/>
    <pivotField compact="0" outline="0" subtotalTop="0" showAll="0" includeNewItemsInFilter="1" defaultSubtotal="0"/>
    <pivotField compact="0" outline="0" subtotalTop="0" showAll="0" defaultSubtotal="0"/>
    <pivotField compact="0" outline="0" subtotalTop="0" showAll="0" defaultSubtotal="0"/>
  </pivotFields>
  <rowFields count="1">
    <field x="11"/>
  </rowFields>
  <rowItems count="5">
    <i>
      <x/>
    </i>
    <i>
      <x v="1"/>
    </i>
    <i>
      <x v="2"/>
    </i>
    <i>
      <x v="3"/>
    </i>
    <i t="grand">
      <x/>
    </i>
  </rowItems>
  <colItems count="1">
    <i/>
  </colItems>
  <dataFields count="1">
    <dataField name="Count of Player" fld="5" subtotal="count"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FE025BD2-36FE-4281-976C-D01A14017E09}" name="PivotTable4" cacheId="14" dataOnRows="1" applyNumberFormats="0" applyBorderFormats="0" applyFontFormats="0" applyPatternFormats="0" applyAlignmentFormats="0" applyWidthHeightFormats="1" dataCaption="Data" updatedVersion="8" minRefreshableVersion="3" showMemberPropertyTips="0" useAutoFormatting="1" itemPrintTitles="1" createdVersion="6" indent="0" compact="0" compactData="0" gridDropZones="1">
  <location ref="A3:E70" firstHeaderRow="1" firstDataRow="2" firstDataCol="1"/>
  <pivotFields count="5">
    <pivotField axis="axisRow" compact="0" outline="0" subtotalTop="0" multipleItemSelectionAllowed="1" showAll="0" defaultSubtotal="0">
      <items count="248">
        <item x="53"/>
        <item m="1" x="74"/>
        <item m="1" x="79"/>
        <item m="1" x="154"/>
        <item m="1" x="97"/>
        <item m="1" x="69"/>
        <item m="1" x="149"/>
        <item m="1" x="168"/>
        <item m="1" x="106"/>
        <item m="1" x="123"/>
        <item m="1" x="94"/>
        <item m="1" x="105"/>
        <item m="1" x="91"/>
        <item m="1" x="90"/>
        <item x="62"/>
        <item m="1" x="137"/>
        <item m="1" x="102"/>
        <item m="1" x="125"/>
        <item m="1" x="88"/>
        <item m="1" x="95"/>
        <item m="1" x="75"/>
        <item m="1" x="101"/>
        <item m="1" x="133"/>
        <item m="1" x="157"/>
        <item m="1" x="84"/>
        <item m="1" x="112"/>
        <item m="1" x="109"/>
        <item m="1" x="86"/>
        <item m="1" x="174"/>
        <item x="34"/>
        <item m="1" x="99"/>
        <item m="1" x="70"/>
        <item m="1" x="178"/>
        <item m="1" x="155"/>
        <item m="1" x="78"/>
        <item m="1" x="89"/>
        <item m="1" x="143"/>
        <item m="1" x="158"/>
        <item m="1" x="103"/>
        <item x="6"/>
        <item m="1" x="73"/>
        <item m="1" x="164"/>
        <item m="1" x="126"/>
        <item m="1" x="180"/>
        <item m="1" x="115"/>
        <item m="1" x="166"/>
        <item m="1" x="134"/>
        <item m="1" x="141"/>
        <item m="1" x="175"/>
        <item x="3"/>
        <item m="1" x="159"/>
        <item m="1" x="199"/>
        <item m="1" x="221"/>
        <item m="1" x="246"/>
        <item m="1" x="132"/>
        <item m="1" x="185"/>
        <item m="1" x="130"/>
        <item m="1" x="201"/>
        <item x="12"/>
        <item m="1" x="243"/>
        <item m="1" x="100"/>
        <item m="1" x="182"/>
        <item m="1" x="82"/>
        <item m="1" x="202"/>
        <item m="1" x="211"/>
        <item x="7"/>
        <item m="1" x="81"/>
        <item m="1" x="131"/>
        <item m="1" x="85"/>
        <item x="45"/>
        <item m="1" x="148"/>
        <item x="54"/>
        <item m="1" x="98"/>
        <item m="1" x="247"/>
        <item x="48"/>
        <item x="61"/>
        <item m="1" x="72"/>
        <item m="1" x="93"/>
        <item m="1" x="156"/>
        <item m="1" x="117"/>
        <item m="1" x="110"/>
        <item m="1" x="138"/>
        <item m="1" x="147"/>
        <item m="1" x="203"/>
        <item m="1" x="177"/>
        <item x="5"/>
        <item m="1" x="135"/>
        <item m="1" x="188"/>
        <item m="1" x="163"/>
        <item m="1" x="122"/>
        <item x="39"/>
        <item m="1" x="113"/>
        <item m="1" x="77"/>
        <item m="1" x="145"/>
        <item m="1" x="136"/>
        <item m="1" x="240"/>
        <item m="1" x="231"/>
        <item m="1" x="139"/>
        <item x="19"/>
        <item m="1" x="128"/>
        <item m="1" x="238"/>
        <item m="1" x="87"/>
        <item m="1" x="173"/>
        <item m="1" x="181"/>
        <item m="1" x="235"/>
        <item m="1" x="245"/>
        <item x="24"/>
        <item m="1" x="244"/>
        <item m="1" x="183"/>
        <item x="13"/>
        <item m="1" x="144"/>
        <item m="1" x="187"/>
        <item m="1" x="193"/>
        <item m="1" x="239"/>
        <item m="1" x="169"/>
        <item m="1" x="83"/>
        <item m="1" x="76"/>
        <item x="26"/>
        <item m="1" x="80"/>
        <item m="1" x="121"/>
        <item m="1" x="65"/>
        <item m="1" x="179"/>
        <item m="1" x="170"/>
        <item x="33"/>
        <item m="1" x="92"/>
        <item m="1" x="71"/>
        <item m="1" x="129"/>
        <item m="1" x="124"/>
        <item m="1" x="215"/>
        <item m="1" x="195"/>
        <item m="1" x="142"/>
        <item m="1" x="204"/>
        <item m="1" x="146"/>
        <item m="1" x="161"/>
        <item m="1" x="153"/>
        <item m="1" x="152"/>
        <item m="1" x="194"/>
        <item m="1" x="197"/>
        <item m="1" x="118"/>
        <item m="1" x="196"/>
        <item x="18"/>
        <item m="1" x="234"/>
        <item m="1" x="96"/>
        <item m="1" x="191"/>
        <item m="1" x="150"/>
        <item m="1" x="151"/>
        <item m="1" x="119"/>
        <item m="1" x="120"/>
        <item m="1" x="111"/>
        <item m="1" x="116"/>
        <item m="1" x="242"/>
        <item m="1" x="162"/>
        <item m="1" x="241"/>
        <item m="1" x="172"/>
        <item m="1" x="107"/>
        <item x="9"/>
        <item m="1" x="210"/>
        <item m="1" x="66"/>
        <item m="1" x="104"/>
        <item m="1" x="192"/>
        <item m="1" x="68"/>
        <item x="4"/>
        <item x="11"/>
        <item m="1" x="198"/>
        <item m="1" x="189"/>
        <item m="1" x="232"/>
        <item x="10"/>
        <item m="1" x="236"/>
        <item m="1" x="207"/>
        <item m="1" x="237"/>
        <item m="1" x="226"/>
        <item m="1" x="184"/>
        <item x="51"/>
        <item x="36"/>
        <item m="1" x="218"/>
        <item m="1" x="171"/>
        <item m="1" x="176"/>
        <item m="1" x="233"/>
        <item m="1" x="206"/>
        <item m="1" x="230"/>
        <item m="1" x="186"/>
        <item m="1" x="114"/>
        <item m="1" x="165"/>
        <item m="1" x="212"/>
        <item m="1" x="213"/>
        <item m="1" x="214"/>
        <item x="25"/>
        <item x="43"/>
        <item x="27"/>
        <item m="1" x="216"/>
        <item x="52"/>
        <item x="37"/>
        <item m="1" x="217"/>
        <item m="1" x="200"/>
        <item x="14"/>
        <item m="1" x="219"/>
        <item m="1" x="220"/>
        <item x="44"/>
        <item x="46"/>
        <item m="1" x="222"/>
        <item m="1" x="223"/>
        <item m="1" x="224"/>
        <item m="1" x="225"/>
        <item m="1" x="227"/>
        <item m="1" x="208"/>
        <item m="1" x="228"/>
        <item m="1" x="229"/>
        <item m="1" x="190"/>
        <item m="1" x="205"/>
        <item m="1" x="127"/>
        <item m="1" x="140"/>
        <item m="1" x="209"/>
        <item m="1" x="160"/>
        <item m="1" x="167"/>
        <item m="1" x="67"/>
        <item m="1" x="108"/>
        <item x="0"/>
        <item x="1"/>
        <item x="2"/>
        <item x="8"/>
        <item x="15"/>
        <item x="16"/>
        <item x="17"/>
        <item x="20"/>
        <item x="21"/>
        <item x="22"/>
        <item x="23"/>
        <item x="28"/>
        <item x="29"/>
        <item x="30"/>
        <item x="31"/>
        <item x="32"/>
        <item x="35"/>
        <item x="38"/>
        <item x="40"/>
        <item x="41"/>
        <item x="42"/>
        <item x="47"/>
        <item x="49"/>
        <item x="50"/>
        <item x="55"/>
        <item x="56"/>
        <item x="57"/>
        <item x="58"/>
        <item x="59"/>
        <item x="60"/>
        <item x="63"/>
        <item x="64"/>
      </items>
    </pivotField>
    <pivotField compact="0" outline="0" showAll="0" includeNewItemsInFilter="1"/>
    <pivotField compact="0" outline="0" subtotalTop="0" showAll="0" defaultSubtotal="0"/>
    <pivotField axis="axisCol" compact="0" outline="0" subtotalTop="0" showAll="0" defaultSubtotal="0">
      <items count="3">
        <item x="0"/>
        <item x="1"/>
        <item x="2"/>
      </items>
    </pivotField>
    <pivotField dataField="1" compact="0" outline="0" subtotalTop="0" showAll="0" defaultSubtotal="0"/>
  </pivotFields>
  <rowFields count="1">
    <field x="0"/>
  </rowFields>
  <rowItems count="66">
    <i>
      <x/>
    </i>
    <i>
      <x v="14"/>
    </i>
    <i>
      <x v="29"/>
    </i>
    <i>
      <x v="39"/>
    </i>
    <i>
      <x v="49"/>
    </i>
    <i>
      <x v="58"/>
    </i>
    <i>
      <x v="65"/>
    </i>
    <i>
      <x v="69"/>
    </i>
    <i>
      <x v="71"/>
    </i>
    <i>
      <x v="74"/>
    </i>
    <i>
      <x v="75"/>
    </i>
    <i>
      <x v="85"/>
    </i>
    <i>
      <x v="90"/>
    </i>
    <i>
      <x v="98"/>
    </i>
    <i>
      <x v="106"/>
    </i>
    <i>
      <x v="109"/>
    </i>
    <i>
      <x v="117"/>
    </i>
    <i>
      <x v="123"/>
    </i>
    <i>
      <x v="140"/>
    </i>
    <i>
      <x v="155"/>
    </i>
    <i>
      <x v="161"/>
    </i>
    <i>
      <x v="162"/>
    </i>
    <i>
      <x v="166"/>
    </i>
    <i>
      <x v="172"/>
    </i>
    <i>
      <x v="173"/>
    </i>
    <i>
      <x v="186"/>
    </i>
    <i>
      <x v="187"/>
    </i>
    <i>
      <x v="188"/>
    </i>
    <i>
      <x v="190"/>
    </i>
    <i>
      <x v="191"/>
    </i>
    <i>
      <x v="194"/>
    </i>
    <i>
      <x v="197"/>
    </i>
    <i>
      <x v="198"/>
    </i>
    <i>
      <x v="216"/>
    </i>
    <i>
      <x v="217"/>
    </i>
    <i>
      <x v="218"/>
    </i>
    <i>
      <x v="219"/>
    </i>
    <i>
      <x v="220"/>
    </i>
    <i>
      <x v="221"/>
    </i>
    <i>
      <x v="222"/>
    </i>
    <i>
      <x v="223"/>
    </i>
    <i>
      <x v="224"/>
    </i>
    <i>
      <x v="225"/>
    </i>
    <i>
      <x v="226"/>
    </i>
    <i>
      <x v="227"/>
    </i>
    <i>
      <x v="228"/>
    </i>
    <i>
      <x v="229"/>
    </i>
    <i>
      <x v="230"/>
    </i>
    <i>
      <x v="231"/>
    </i>
    <i>
      <x v="232"/>
    </i>
    <i>
      <x v="233"/>
    </i>
    <i>
      <x v="234"/>
    </i>
    <i>
      <x v="235"/>
    </i>
    <i>
      <x v="236"/>
    </i>
    <i>
      <x v="237"/>
    </i>
    <i>
      <x v="238"/>
    </i>
    <i>
      <x v="239"/>
    </i>
    <i>
      <x v="240"/>
    </i>
    <i>
      <x v="241"/>
    </i>
    <i>
      <x v="242"/>
    </i>
    <i>
      <x v="243"/>
    </i>
    <i>
      <x v="244"/>
    </i>
    <i>
      <x v="245"/>
    </i>
    <i>
      <x v="246"/>
    </i>
    <i>
      <x v="247"/>
    </i>
    <i t="grand">
      <x/>
    </i>
  </rowItems>
  <colFields count="1">
    <field x="3"/>
  </colFields>
  <colItems count="4">
    <i>
      <x/>
    </i>
    <i>
      <x v="1"/>
    </i>
    <i>
      <x v="2"/>
    </i>
    <i t="grand">
      <x/>
    </i>
  </colItems>
  <dataFields count="1">
    <dataField name="Count of Points" fld="4" subtotal="count" baseField="0" baseItem="0"/>
  </dataFields>
  <pivotTableStyleInfo showRowHeaders="1"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9.bin"/><Relationship Id="rId1" Type="http://schemas.openxmlformats.org/officeDocument/2006/relationships/hyperlink" Target="https://www.calculator.net/random-number-generator.html" TargetMode="External"/><Relationship Id="rId4" Type="http://schemas.openxmlformats.org/officeDocument/2006/relationships/comments" Target="../comments2.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pivotTable" Target="../pivotTables/pivotTable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7.v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8" Type="http://schemas.openxmlformats.org/officeDocument/2006/relationships/drawing" Target="../drawings/drawing8.xml"/><Relationship Id="rId3" Type="http://schemas.openxmlformats.org/officeDocument/2006/relationships/hyperlink" Target="http://www.chrisgriffinsays.co.uk/prediction-league/next-odds/" TargetMode="External"/><Relationship Id="rId7" Type="http://schemas.openxmlformats.org/officeDocument/2006/relationships/printerSettings" Target="../printerSettings/printerSettings20.bin"/><Relationship Id="rId2" Type="http://schemas.openxmlformats.org/officeDocument/2006/relationships/hyperlink" Target="http://www.chrisgriffinsays.co.uk/prediction-league/prediction-league-home/" TargetMode="External"/><Relationship Id="rId1" Type="http://schemas.openxmlformats.org/officeDocument/2006/relationships/hyperlink" Target="http://www.online-betting.me.uk/articles/patent-bet.html" TargetMode="External"/><Relationship Id="rId6" Type="http://schemas.openxmlformats.org/officeDocument/2006/relationships/hyperlink" Target="http://eepurl.com/riHbD" TargetMode="External"/><Relationship Id="rId5" Type="http://schemas.openxmlformats.org/officeDocument/2006/relationships/hyperlink" Target="http://www.chrisgriffinsays.co.uk/prediction-league/prediction-league-news/" TargetMode="External"/><Relationship Id="rId4" Type="http://schemas.openxmlformats.org/officeDocument/2006/relationships/hyperlink" Target="http://www.chrisgriffinsays.co.uk/prediction-league/prediction-league-di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3"/>
  <dimension ref="A1:I30"/>
  <sheetViews>
    <sheetView zoomScale="80" zoomScaleNormal="80" workbookViewId="0">
      <selection sqref="A1:XFD1048576"/>
    </sheetView>
  </sheetViews>
  <sheetFormatPr defaultRowHeight="12.75"/>
  <cols>
    <col min="1" max="1" width="49.265625" customWidth="1"/>
    <col min="2" max="5" width="37.73046875" customWidth="1"/>
  </cols>
  <sheetData>
    <row r="1" spans="1:9" ht="60" customHeight="1">
      <c r="A1" s="103"/>
      <c r="B1" s="340" t="s">
        <v>332</v>
      </c>
      <c r="C1" s="103"/>
      <c r="D1" s="103"/>
      <c r="E1" s="103"/>
      <c r="F1" s="103"/>
      <c r="G1" s="103"/>
      <c r="H1" s="103"/>
      <c r="I1" s="103"/>
    </row>
    <row r="2" spans="1:9" ht="35.1" customHeight="1">
      <c r="A2" s="103"/>
      <c r="B2" s="333" t="s">
        <v>323</v>
      </c>
      <c r="C2" s="334" t="s">
        <v>322</v>
      </c>
      <c r="D2" s="334" t="s">
        <v>324</v>
      </c>
      <c r="E2" s="335" t="s">
        <v>325</v>
      </c>
      <c r="F2" s="103"/>
      <c r="G2" s="103"/>
      <c r="H2" s="103"/>
      <c r="I2" s="103"/>
    </row>
    <row r="3" spans="1:9" ht="35.1" customHeight="1">
      <c r="A3" s="103"/>
      <c r="B3" s="332" t="s">
        <v>306</v>
      </c>
      <c r="C3" s="332" t="s">
        <v>319</v>
      </c>
      <c r="D3" s="332" t="s">
        <v>312</v>
      </c>
      <c r="E3" s="332" t="s">
        <v>327</v>
      </c>
      <c r="F3" s="103"/>
      <c r="G3" s="103"/>
      <c r="H3" s="103"/>
      <c r="I3" s="103"/>
    </row>
    <row r="4" spans="1:9" ht="35.1" customHeight="1">
      <c r="A4" s="103"/>
      <c r="B4" s="332" t="s">
        <v>307</v>
      </c>
      <c r="C4" s="332" t="s">
        <v>316</v>
      </c>
      <c r="D4" s="332" t="s">
        <v>313</v>
      </c>
      <c r="E4" s="332" t="s">
        <v>130</v>
      </c>
      <c r="F4" s="103"/>
      <c r="G4" s="103"/>
      <c r="H4" s="103"/>
      <c r="I4" s="103"/>
    </row>
    <row r="5" spans="1:9" ht="35.1" customHeight="1">
      <c r="A5" s="103"/>
      <c r="B5" s="332" t="s">
        <v>308</v>
      </c>
      <c r="C5" s="332" t="s">
        <v>317</v>
      </c>
      <c r="D5" s="332" t="s">
        <v>314</v>
      </c>
      <c r="E5" s="332" t="s">
        <v>328</v>
      </c>
      <c r="F5" s="103"/>
      <c r="G5" s="103"/>
      <c r="H5" s="103"/>
      <c r="I5" s="103"/>
    </row>
    <row r="6" spans="1:9" ht="35.1" customHeight="1">
      <c r="A6" s="103"/>
      <c r="B6" s="332" t="s">
        <v>309</v>
      </c>
      <c r="C6" s="332" t="s">
        <v>315</v>
      </c>
      <c r="D6" s="332" t="s">
        <v>320</v>
      </c>
      <c r="E6" s="332" t="s">
        <v>329</v>
      </c>
      <c r="F6" s="103"/>
      <c r="G6" s="103"/>
      <c r="H6" s="103"/>
      <c r="I6" s="103"/>
    </row>
    <row r="7" spans="1:9" ht="35.1" customHeight="1">
      <c r="A7" s="103"/>
      <c r="B7" s="332" t="s">
        <v>310</v>
      </c>
      <c r="C7" s="332" t="s">
        <v>318</v>
      </c>
      <c r="D7" s="332" t="s">
        <v>321</v>
      </c>
      <c r="E7" s="332" t="s">
        <v>330</v>
      </c>
      <c r="F7" s="103"/>
      <c r="G7" s="103"/>
      <c r="H7" s="103"/>
      <c r="I7" s="103"/>
    </row>
    <row r="8" spans="1:9" ht="35.1" customHeight="1">
      <c r="A8" s="103"/>
      <c r="B8" s="332" t="s">
        <v>311</v>
      </c>
      <c r="C8" s="332"/>
      <c r="D8" s="332" t="s">
        <v>326</v>
      </c>
      <c r="E8" s="332" t="s">
        <v>334</v>
      </c>
      <c r="F8" s="103"/>
      <c r="G8" s="103"/>
      <c r="H8" s="103"/>
      <c r="I8" s="103"/>
    </row>
    <row r="9" spans="1:9" ht="20.100000000000001" customHeight="1">
      <c r="A9" s="103"/>
      <c r="B9" s="103"/>
      <c r="C9" s="103"/>
      <c r="D9" s="103"/>
      <c r="E9" s="103"/>
      <c r="F9" s="103"/>
      <c r="G9" s="103"/>
      <c r="H9" s="103"/>
      <c r="I9" s="103"/>
    </row>
    <row r="10" spans="1:9" ht="20.100000000000001" customHeight="1">
      <c r="A10" s="103"/>
      <c r="B10" s="103"/>
      <c r="C10" s="103"/>
      <c r="D10" s="103"/>
      <c r="E10" s="103"/>
      <c r="F10" s="103"/>
      <c r="G10" s="103"/>
      <c r="H10" s="103"/>
      <c r="I10" s="103"/>
    </row>
    <row r="11" spans="1:9" ht="20.100000000000001" customHeight="1">
      <c r="A11" s="103"/>
      <c r="B11" s="103"/>
      <c r="C11" s="103"/>
      <c r="D11" s="103"/>
      <c r="E11" s="103"/>
      <c r="F11" s="103"/>
      <c r="G11" s="103"/>
      <c r="H11" s="103"/>
      <c r="I11" s="103"/>
    </row>
    <row r="12" spans="1:9" ht="20.100000000000001" customHeight="1">
      <c r="A12" s="103"/>
      <c r="B12" s="103"/>
      <c r="C12" s="103"/>
      <c r="D12" s="103"/>
      <c r="E12" s="103"/>
      <c r="F12" s="103"/>
      <c r="G12" s="103"/>
      <c r="H12" s="103"/>
      <c r="I12" s="103"/>
    </row>
    <row r="13" spans="1:9" ht="20.100000000000001" customHeight="1">
      <c r="A13" s="103"/>
      <c r="B13" s="103"/>
      <c r="C13" s="103"/>
      <c r="D13" s="103"/>
      <c r="E13" s="103"/>
      <c r="F13" s="103"/>
      <c r="G13" s="103"/>
      <c r="H13" s="103"/>
      <c r="I13" s="103"/>
    </row>
    <row r="14" spans="1:9" ht="20.100000000000001" customHeight="1">
      <c r="A14" s="103"/>
      <c r="B14" s="103"/>
      <c r="C14" s="103"/>
      <c r="D14" s="103"/>
      <c r="E14" s="103"/>
      <c r="F14" s="103"/>
      <c r="G14" s="103"/>
      <c r="H14" s="103"/>
      <c r="I14" s="103"/>
    </row>
    <row r="15" spans="1:9" ht="20.100000000000001" customHeight="1">
      <c r="A15" s="103"/>
      <c r="B15" s="103"/>
      <c r="C15" s="103"/>
      <c r="D15" s="103"/>
      <c r="E15" s="103"/>
      <c r="F15" s="103"/>
      <c r="G15" s="103"/>
      <c r="H15" s="103"/>
      <c r="I15" s="103"/>
    </row>
    <row r="16" spans="1:9" ht="20.100000000000001" customHeight="1">
      <c r="A16" s="103"/>
      <c r="B16" s="103"/>
      <c r="C16" s="103"/>
      <c r="D16" s="103"/>
      <c r="E16" s="103"/>
      <c r="F16" s="103"/>
      <c r="G16" s="103"/>
      <c r="H16" s="103"/>
      <c r="I16" s="103"/>
    </row>
    <row r="17" spans="1:9" ht="20.100000000000001" customHeight="1">
      <c r="A17" s="103"/>
      <c r="B17" s="103"/>
      <c r="C17" s="103"/>
      <c r="D17" s="103"/>
      <c r="E17" s="103"/>
      <c r="F17" s="103"/>
      <c r="G17" s="103"/>
      <c r="H17" s="103"/>
      <c r="I17" s="103"/>
    </row>
    <row r="18" spans="1:9" ht="20.100000000000001" customHeight="1">
      <c r="A18" s="103"/>
      <c r="B18" s="103"/>
      <c r="C18" s="103"/>
      <c r="D18" s="103"/>
      <c r="E18" s="103"/>
      <c r="F18" s="103"/>
      <c r="G18" s="103"/>
      <c r="H18" s="103"/>
      <c r="I18" s="103"/>
    </row>
    <row r="19" spans="1:9" ht="20.100000000000001" customHeight="1">
      <c r="A19" s="103"/>
      <c r="B19" s="103"/>
      <c r="C19" s="103"/>
      <c r="D19" s="103"/>
      <c r="E19" s="103"/>
      <c r="F19" s="103"/>
      <c r="G19" s="103"/>
      <c r="H19" s="103"/>
      <c r="I19" s="103"/>
    </row>
    <row r="20" spans="1:9" ht="20.100000000000001" customHeight="1">
      <c r="A20" s="103"/>
      <c r="B20" s="103"/>
      <c r="C20" s="103"/>
      <c r="D20" s="103"/>
      <c r="E20" s="103"/>
      <c r="F20" s="103"/>
      <c r="G20" s="103"/>
      <c r="H20" s="103"/>
      <c r="I20" s="103"/>
    </row>
    <row r="21" spans="1:9" ht="20.100000000000001" customHeight="1">
      <c r="A21" s="103"/>
      <c r="B21" s="103"/>
      <c r="C21" s="103"/>
      <c r="D21" s="103"/>
      <c r="E21" s="103"/>
      <c r="F21" s="103"/>
      <c r="G21" s="103"/>
      <c r="H21" s="103"/>
      <c r="I21" s="103"/>
    </row>
    <row r="22" spans="1:9" ht="20.100000000000001" customHeight="1">
      <c r="A22" s="103"/>
      <c r="B22" s="103"/>
      <c r="C22" s="103"/>
      <c r="D22" s="103"/>
      <c r="E22" s="103"/>
      <c r="F22" s="103"/>
      <c r="G22" s="103"/>
      <c r="H22" s="103"/>
      <c r="I22" s="103"/>
    </row>
    <row r="23" spans="1:9" ht="20.100000000000001" customHeight="1"/>
    <row r="24" spans="1:9" ht="20.100000000000001" customHeight="1"/>
    <row r="25" spans="1:9" ht="20.100000000000001" customHeight="1"/>
    <row r="26" spans="1:9" ht="20.100000000000001" customHeight="1"/>
    <row r="27" spans="1:9" ht="20.100000000000001" customHeight="1"/>
    <row r="28" spans="1:9" ht="20.100000000000001" customHeight="1"/>
    <row r="29" spans="1:9" ht="20.100000000000001" customHeight="1"/>
    <row r="30" spans="1:9" ht="20.100000000000001" customHeight="1"/>
  </sheetData>
  <hyperlinks>
    <hyperlink ref="B3" location="Table!A1" display="League Table" xr:uid="{00000000-0004-0000-0000-000000000000}"/>
    <hyperlink ref="B4" location="Weekly!A1" display="Weekly Results" xr:uid="{00000000-0004-0000-0000-000001000000}"/>
    <hyperlink ref="B5" location="Cup!A1" display="Cup Draw" xr:uid="{00000000-0004-0000-0000-000002000000}"/>
    <hyperlink ref="B6" location="Diary!A1" display="Season Diary" xr:uid="{00000000-0004-0000-0000-000003000000}"/>
    <hyperlink ref="B7" location="Fixture!A1" display="Current Week Fixtures" xr:uid="{00000000-0004-0000-0000-000004000000}"/>
    <hyperlink ref="B8" location="Predictions!A1" display="Current Week Predictions" xr:uid="{00000000-0004-0000-0000-000005000000}"/>
    <hyperlink ref="C3" location="Pics!A1" display="Pics for Publication" xr:uid="{00000000-0004-0000-0000-000006000000}"/>
    <hyperlink ref="C4" location="Prizelist!A1" display="Prizes - Summary" xr:uid="{00000000-0004-0000-0000-000007000000}"/>
    <hyperlink ref="C5" location="Prizes!A1" display="Prizes - Divisional Splits" xr:uid="{00000000-0004-0000-0000-000008000000}"/>
    <hyperlink ref="C6" location="FAQ!A1" display="FAQ" xr:uid="{00000000-0004-0000-0000-000009000000}"/>
    <hyperlink ref="C7" location="Sample!A1" display="Sample Bets" xr:uid="{00000000-0004-0000-0000-00000A000000}"/>
    <hyperlink ref="D3" location="Match!A1" display="Add Matches" xr:uid="{00000000-0004-0000-0000-00000B000000}"/>
    <hyperlink ref="D4" location="Picks!A1" display="Add Predictions" xr:uid="{00000000-0004-0000-0000-00000C000000}"/>
    <hyperlink ref="D5" location="'Bets#2'!A1" display="Add Predictions (double-week)" xr:uid="{00000000-0004-0000-0000-00000D000000}"/>
    <hyperlink ref="D6" location="'3of3'!A1" display="1-2-3 Pivot" xr:uid="{00000000-0004-0000-0000-00000E000000}"/>
    <hyperlink ref="D7" location="TopPicks!A1" display="Top Picks" xr:uid="{00000000-0004-0000-0000-00000F000000}"/>
    <hyperlink ref="D8" location="CupDraw!A1" display="Cup Draw Raw" xr:uid="{00000000-0004-0000-0000-000010000000}"/>
    <hyperlink ref="E3" location="Calc!A1" display="Calculations" xr:uid="{00000000-0004-0000-0000-000011000000}"/>
    <hyperlink ref="E4" location="Players!A1" display="Entrants" xr:uid="{00000000-0004-0000-0000-000012000000}"/>
    <hyperlink ref="E5" location="Last!A1" display="Last Season Places" xr:uid="{00000000-0004-0000-0000-000013000000}"/>
    <hyperlink ref="E6" location="Brought!A1" display="Brought Forward" xr:uid="{00000000-0004-0000-0000-000014000000}"/>
    <hyperlink ref="E7" location="Final!A1" display="End of Season Finance" xr:uid="{00000000-0004-0000-0000-000015000000}"/>
    <hyperlink ref="E8" location="MiniLeagues!A1" display="Mini Leagues " xr:uid="{00000000-0004-0000-0000-000016000000}"/>
  </hyperlinks>
  <pageMargins left="0.7" right="0.7" top="0.75" bottom="0.75" header="0.3" footer="0.3"/>
  <pageSetup paperSize="9" orientation="portrait"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2">
    <tabColor rgb="FF7030A0"/>
  </sheetPr>
  <dimension ref="A1:E111"/>
  <sheetViews>
    <sheetView zoomScale="90" zoomScaleNormal="90" workbookViewId="0">
      <pane ySplit="1" topLeftCell="A9" activePane="bottomLeft" state="frozen"/>
      <selection pane="bottomLeft" activeCell="A2" sqref="A2:A51"/>
    </sheetView>
  </sheetViews>
  <sheetFormatPr defaultRowHeight="12.75"/>
  <cols>
    <col min="1" max="1" width="27.1328125" style="4" customWidth="1"/>
    <col min="2" max="2" width="10.1328125" style="125" customWidth="1"/>
    <col min="3" max="3" width="32.73046875" customWidth="1"/>
    <col min="4" max="4" width="13.265625" bestFit="1" customWidth="1"/>
    <col min="5" max="5" width="15.3984375" bestFit="1" customWidth="1"/>
  </cols>
  <sheetData>
    <row r="1" spans="1:5" ht="45.6" customHeight="1">
      <c r="A1" s="376" t="s">
        <v>418</v>
      </c>
      <c r="B1" s="376" t="s">
        <v>217</v>
      </c>
    </row>
    <row r="2" spans="1:5">
      <c r="A2" s="375" t="s">
        <v>479</v>
      </c>
      <c r="B2" s="373" t="s">
        <v>223</v>
      </c>
      <c r="D2" s="426" t="s">
        <v>415</v>
      </c>
      <c r="E2" t="s">
        <v>419</v>
      </c>
    </row>
    <row r="3" spans="1:5">
      <c r="A3" s="375" t="s">
        <v>282</v>
      </c>
      <c r="B3" s="373" t="s">
        <v>221</v>
      </c>
      <c r="D3" s="4" t="s">
        <v>221</v>
      </c>
      <c r="E3">
        <v>16</v>
      </c>
    </row>
    <row r="4" spans="1:5">
      <c r="A4" s="375" t="s">
        <v>414</v>
      </c>
      <c r="B4" s="373" t="s">
        <v>221</v>
      </c>
      <c r="D4" s="4" t="s">
        <v>222</v>
      </c>
      <c r="E4">
        <v>16</v>
      </c>
    </row>
    <row r="5" spans="1:5">
      <c r="A5" s="375" t="s">
        <v>495</v>
      </c>
      <c r="B5" s="373" t="s">
        <v>223</v>
      </c>
      <c r="D5" s="4" t="s">
        <v>223</v>
      </c>
      <c r="E5">
        <v>18</v>
      </c>
    </row>
    <row r="6" spans="1:5">
      <c r="A6" s="375" t="s">
        <v>298</v>
      </c>
      <c r="B6" s="373" t="s">
        <v>223</v>
      </c>
      <c r="D6" s="4" t="s">
        <v>404</v>
      </c>
    </row>
    <row r="7" spans="1:5">
      <c r="A7" s="375" t="s">
        <v>274</v>
      </c>
      <c r="B7" s="373" t="s">
        <v>223</v>
      </c>
      <c r="D7" s="4" t="s">
        <v>139</v>
      </c>
      <c r="E7">
        <v>50</v>
      </c>
    </row>
    <row r="8" spans="1:5">
      <c r="A8" s="375" t="s">
        <v>268</v>
      </c>
      <c r="B8" s="373" t="s">
        <v>221</v>
      </c>
    </row>
    <row r="9" spans="1:5">
      <c r="A9" s="375" t="s">
        <v>346</v>
      </c>
      <c r="B9" s="373" t="s">
        <v>222</v>
      </c>
    </row>
    <row r="10" spans="1:5">
      <c r="A10" s="375" t="s">
        <v>480</v>
      </c>
      <c r="B10" s="373" t="s">
        <v>223</v>
      </c>
    </row>
    <row r="11" spans="1:5">
      <c r="A11" s="375" t="s">
        <v>291</v>
      </c>
      <c r="B11" s="373" t="s">
        <v>223</v>
      </c>
    </row>
    <row r="12" spans="1:5">
      <c r="A12" s="375" t="s">
        <v>295</v>
      </c>
      <c r="B12" s="373" t="s">
        <v>223</v>
      </c>
    </row>
    <row r="13" spans="1:5">
      <c r="A13" s="375" t="s">
        <v>290</v>
      </c>
      <c r="B13" s="373" t="s">
        <v>222</v>
      </c>
    </row>
    <row r="14" spans="1:5">
      <c r="A14" s="375" t="s">
        <v>296</v>
      </c>
      <c r="B14" s="373" t="s">
        <v>222</v>
      </c>
    </row>
    <row r="15" spans="1:5">
      <c r="A15" s="375" t="s">
        <v>481</v>
      </c>
      <c r="B15" s="373" t="s">
        <v>223</v>
      </c>
    </row>
    <row r="16" spans="1:5">
      <c r="A16" s="375" t="s">
        <v>351</v>
      </c>
      <c r="B16" s="373" t="s">
        <v>222</v>
      </c>
    </row>
    <row r="17" spans="1:2">
      <c r="A17" s="375" t="s">
        <v>347</v>
      </c>
      <c r="B17" s="373" t="s">
        <v>223</v>
      </c>
    </row>
    <row r="18" spans="1:2">
      <c r="A18" s="375" t="s">
        <v>517</v>
      </c>
      <c r="B18" s="373" t="s">
        <v>223</v>
      </c>
    </row>
    <row r="19" spans="1:2">
      <c r="A19" s="375" t="s">
        <v>482</v>
      </c>
      <c r="B19" s="373" t="s">
        <v>222</v>
      </c>
    </row>
    <row r="20" spans="1:2">
      <c r="A20" s="375" t="s">
        <v>281</v>
      </c>
      <c r="B20" s="373" t="s">
        <v>221</v>
      </c>
    </row>
    <row r="21" spans="1:2">
      <c r="A21" s="375" t="s">
        <v>348</v>
      </c>
      <c r="B21" s="373" t="s">
        <v>222</v>
      </c>
    </row>
    <row r="22" spans="1:2">
      <c r="A22" s="375" t="s">
        <v>271</v>
      </c>
      <c r="B22" s="373" t="s">
        <v>222</v>
      </c>
    </row>
    <row r="23" spans="1:2">
      <c r="A23" s="375" t="s">
        <v>285</v>
      </c>
      <c r="B23" s="373" t="s">
        <v>221</v>
      </c>
    </row>
    <row r="24" spans="1:2">
      <c r="A24" s="375" t="s">
        <v>294</v>
      </c>
      <c r="B24" s="373" t="s">
        <v>222</v>
      </c>
    </row>
    <row r="25" spans="1:2">
      <c r="A25" s="375" t="s">
        <v>488</v>
      </c>
      <c r="B25" s="373" t="s">
        <v>223</v>
      </c>
    </row>
    <row r="26" spans="1:2">
      <c r="A26" s="375" t="s">
        <v>518</v>
      </c>
      <c r="B26" s="373" t="s">
        <v>222</v>
      </c>
    </row>
    <row r="27" spans="1:2">
      <c r="A27" s="375" t="s">
        <v>286</v>
      </c>
      <c r="B27" s="373" t="s">
        <v>221</v>
      </c>
    </row>
    <row r="28" spans="1:2">
      <c r="A28" s="375" t="s">
        <v>276</v>
      </c>
      <c r="B28" s="373" t="s">
        <v>221</v>
      </c>
    </row>
    <row r="29" spans="1:2">
      <c r="A29" s="375" t="s">
        <v>277</v>
      </c>
      <c r="B29" s="373" t="s">
        <v>221</v>
      </c>
    </row>
    <row r="30" spans="1:2">
      <c r="A30" s="375" t="s">
        <v>273</v>
      </c>
      <c r="B30" s="373" t="s">
        <v>222</v>
      </c>
    </row>
    <row r="31" spans="1:2">
      <c r="A31" s="375" t="s">
        <v>272</v>
      </c>
      <c r="B31" s="373" t="s">
        <v>223</v>
      </c>
    </row>
    <row r="32" spans="1:2">
      <c r="A32" s="375" t="s">
        <v>350</v>
      </c>
      <c r="B32" s="373" t="s">
        <v>222</v>
      </c>
    </row>
    <row r="33" spans="1:2">
      <c r="A33" s="375" t="s">
        <v>280</v>
      </c>
      <c r="B33" s="373" t="s">
        <v>221</v>
      </c>
    </row>
    <row r="34" spans="1:2">
      <c r="A34" s="375" t="s">
        <v>535</v>
      </c>
      <c r="B34" s="373" t="s">
        <v>223</v>
      </c>
    </row>
    <row r="35" spans="1:2">
      <c r="A35" s="375" t="s">
        <v>349</v>
      </c>
      <c r="B35" s="373" t="s">
        <v>221</v>
      </c>
    </row>
    <row r="36" spans="1:2">
      <c r="A36" s="375" t="s">
        <v>292</v>
      </c>
      <c r="B36" s="373" t="s">
        <v>221</v>
      </c>
    </row>
    <row r="37" spans="1:2">
      <c r="A37" s="375" t="s">
        <v>275</v>
      </c>
      <c r="B37" s="373" t="s">
        <v>223</v>
      </c>
    </row>
    <row r="38" spans="1:2">
      <c r="A38" s="375" t="s">
        <v>266</v>
      </c>
      <c r="B38" s="373" t="s">
        <v>221</v>
      </c>
    </row>
    <row r="39" spans="1:2">
      <c r="A39" s="375" t="s">
        <v>284</v>
      </c>
      <c r="B39" s="373" t="s">
        <v>221</v>
      </c>
    </row>
    <row r="40" spans="1:2">
      <c r="A40" s="375" t="s">
        <v>288</v>
      </c>
      <c r="B40" s="373" t="s">
        <v>222</v>
      </c>
    </row>
    <row r="41" spans="1:2">
      <c r="A41" s="375" t="s">
        <v>297</v>
      </c>
      <c r="B41" s="373" t="s">
        <v>222</v>
      </c>
    </row>
    <row r="42" spans="1:2">
      <c r="A42" s="375" t="s">
        <v>287</v>
      </c>
      <c r="B42" s="373" t="s">
        <v>221</v>
      </c>
    </row>
    <row r="43" spans="1:2">
      <c r="A43" s="375" t="s">
        <v>289</v>
      </c>
      <c r="B43" s="373" t="s">
        <v>221</v>
      </c>
    </row>
    <row r="44" spans="1:2">
      <c r="A44" s="375" t="s">
        <v>541</v>
      </c>
      <c r="B44" s="373" t="s">
        <v>223</v>
      </c>
    </row>
    <row r="45" spans="1:2">
      <c r="A45" s="375" t="s">
        <v>534</v>
      </c>
      <c r="B45" s="373" t="s">
        <v>223</v>
      </c>
    </row>
    <row r="46" spans="1:2">
      <c r="A46" s="375" t="s">
        <v>267</v>
      </c>
      <c r="B46" s="373" t="s">
        <v>222</v>
      </c>
    </row>
    <row r="47" spans="1:2">
      <c r="A47" s="375" t="s">
        <v>269</v>
      </c>
      <c r="B47" s="373" t="s">
        <v>221</v>
      </c>
    </row>
    <row r="48" spans="1:2">
      <c r="A48" s="375" t="s">
        <v>512</v>
      </c>
      <c r="B48" s="373" t="s">
        <v>223</v>
      </c>
    </row>
    <row r="49" spans="1:2">
      <c r="A49" s="375" t="s">
        <v>536</v>
      </c>
      <c r="B49" s="373" t="s">
        <v>223</v>
      </c>
    </row>
    <row r="50" spans="1:2">
      <c r="A50" s="375" t="s">
        <v>304</v>
      </c>
      <c r="B50" s="373" t="s">
        <v>222</v>
      </c>
    </row>
    <row r="51" spans="1:2">
      <c r="A51" s="375" t="s">
        <v>283</v>
      </c>
      <c r="B51" s="373" t="s">
        <v>222</v>
      </c>
    </row>
    <row r="52" spans="1:2">
      <c r="A52" s="375"/>
      <c r="B52" s="373"/>
    </row>
    <row r="53" spans="1:2">
      <c r="A53" s="375"/>
      <c r="B53" s="373"/>
    </row>
    <row r="54" spans="1:2">
      <c r="A54" s="375"/>
      <c r="B54" s="373"/>
    </row>
    <row r="55" spans="1:2">
      <c r="A55" s="375"/>
      <c r="B55" s="373"/>
    </row>
    <row r="56" spans="1:2">
      <c r="A56" s="375"/>
      <c r="B56" s="373"/>
    </row>
    <row r="57" spans="1:2">
      <c r="A57" s="375"/>
      <c r="B57" s="373"/>
    </row>
    <row r="58" spans="1:2">
      <c r="A58" s="375"/>
      <c r="B58" s="373"/>
    </row>
    <row r="59" spans="1:2">
      <c r="A59" s="375"/>
      <c r="B59" s="373"/>
    </row>
    <row r="60" spans="1:2">
      <c r="A60" s="375"/>
      <c r="B60" s="373"/>
    </row>
    <row r="61" spans="1:2">
      <c r="A61" s="375"/>
      <c r="B61" s="373"/>
    </row>
    <row r="62" spans="1:2">
      <c r="A62" s="375"/>
      <c r="B62" s="373"/>
    </row>
    <row r="63" spans="1:2">
      <c r="A63" s="375"/>
      <c r="B63" s="373"/>
    </row>
    <row r="64" spans="1:2">
      <c r="A64" s="375"/>
      <c r="B64" s="373"/>
    </row>
    <row r="65" spans="1:2">
      <c r="A65" s="375"/>
      <c r="B65" s="373"/>
    </row>
    <row r="66" spans="1:2">
      <c r="A66" s="375"/>
      <c r="B66" s="373"/>
    </row>
    <row r="67" spans="1:2">
      <c r="A67" s="375"/>
      <c r="B67" s="373"/>
    </row>
    <row r="68" spans="1:2">
      <c r="A68" s="375"/>
      <c r="B68" s="373"/>
    </row>
    <row r="69" spans="1:2">
      <c r="A69" s="375"/>
      <c r="B69" s="373"/>
    </row>
    <row r="70" spans="1:2">
      <c r="A70" s="375"/>
      <c r="B70" s="373"/>
    </row>
    <row r="71" spans="1:2">
      <c r="A71" s="375"/>
      <c r="B71" s="373"/>
    </row>
    <row r="72" spans="1:2">
      <c r="A72" s="375"/>
      <c r="B72" s="373"/>
    </row>
    <row r="73" spans="1:2">
      <c r="A73" s="375"/>
      <c r="B73" s="373"/>
    </row>
    <row r="74" spans="1:2">
      <c r="A74" s="374"/>
      <c r="B74" s="373"/>
    </row>
    <row r="75" spans="1:2">
      <c r="A75" s="374"/>
      <c r="B75" s="373"/>
    </row>
    <row r="76" spans="1:2">
      <c r="A76" s="374"/>
      <c r="B76" s="373"/>
    </row>
    <row r="77" spans="1:2">
      <c r="A77" s="374"/>
      <c r="B77" s="373"/>
    </row>
    <row r="78" spans="1:2">
      <c r="A78" s="374"/>
      <c r="B78" s="373"/>
    </row>
    <row r="79" spans="1:2">
      <c r="A79" s="374"/>
      <c r="B79" s="373"/>
    </row>
    <row r="80" spans="1:2">
      <c r="A80" s="374"/>
      <c r="B80" s="373"/>
    </row>
    <row r="81" spans="1:2">
      <c r="A81" s="374"/>
      <c r="B81" s="373"/>
    </row>
    <row r="82" spans="1:2">
      <c r="A82" s="374"/>
      <c r="B82" s="373"/>
    </row>
    <row r="83" spans="1:2">
      <c r="A83" s="374"/>
      <c r="B83" s="373"/>
    </row>
    <row r="84" spans="1:2">
      <c r="A84" s="374"/>
      <c r="B84" s="373"/>
    </row>
    <row r="85" spans="1:2">
      <c r="A85" s="374"/>
      <c r="B85" s="373"/>
    </row>
    <row r="86" spans="1:2">
      <c r="A86" s="374"/>
      <c r="B86" s="373"/>
    </row>
    <row r="87" spans="1:2">
      <c r="A87" s="374"/>
      <c r="B87" s="373"/>
    </row>
    <row r="88" spans="1:2">
      <c r="A88" s="374"/>
      <c r="B88" s="373"/>
    </row>
    <row r="89" spans="1:2">
      <c r="A89" s="374"/>
      <c r="B89" s="373"/>
    </row>
    <row r="90" spans="1:2">
      <c r="A90" s="374"/>
      <c r="B90" s="373"/>
    </row>
    <row r="91" spans="1:2">
      <c r="A91" s="374"/>
      <c r="B91" s="373"/>
    </row>
    <row r="92" spans="1:2">
      <c r="A92" s="374"/>
      <c r="B92" s="373"/>
    </row>
    <row r="93" spans="1:2">
      <c r="A93" s="374"/>
      <c r="B93" s="373"/>
    </row>
    <row r="94" spans="1:2">
      <c r="A94" s="374"/>
      <c r="B94" s="373"/>
    </row>
    <row r="95" spans="1:2">
      <c r="A95" s="374"/>
      <c r="B95" s="373"/>
    </row>
    <row r="96" spans="1:2">
      <c r="A96" s="374"/>
      <c r="B96" s="373"/>
    </row>
    <row r="97" spans="1:2">
      <c r="A97" s="374"/>
      <c r="B97" s="373"/>
    </row>
    <row r="98" spans="1:2">
      <c r="A98" s="374"/>
      <c r="B98" s="373"/>
    </row>
    <row r="99" spans="1:2">
      <c r="A99" s="374"/>
      <c r="B99" s="373"/>
    </row>
    <row r="100" spans="1:2">
      <c r="A100" s="374"/>
      <c r="B100" s="373"/>
    </row>
    <row r="101" spans="1:2">
      <c r="A101" s="77"/>
      <c r="B101" s="218"/>
    </row>
    <row r="102" spans="1:2">
      <c r="A102" s="77"/>
      <c r="B102" s="218"/>
    </row>
    <row r="103" spans="1:2">
      <c r="A103" s="77"/>
      <c r="B103" s="218"/>
    </row>
    <row r="104" spans="1:2">
      <c r="A104" s="77"/>
      <c r="B104" s="218"/>
    </row>
    <row r="105" spans="1:2">
      <c r="A105" s="77"/>
      <c r="B105" s="218"/>
    </row>
    <row r="106" spans="1:2">
      <c r="A106" s="77"/>
      <c r="B106" s="218"/>
    </row>
    <row r="107" spans="1:2">
      <c r="A107" s="77"/>
      <c r="B107" s="218"/>
    </row>
    <row r="108" spans="1:2">
      <c r="A108" s="77"/>
      <c r="B108" s="218"/>
    </row>
    <row r="109" spans="1:2">
      <c r="A109" s="77"/>
      <c r="B109" s="218"/>
    </row>
    <row r="110" spans="1:2">
      <c r="A110" s="77"/>
      <c r="B110" s="218"/>
    </row>
    <row r="111" spans="1:2">
      <c r="A111" s="77"/>
      <c r="B111" s="218"/>
    </row>
  </sheetData>
  <autoFilter ref="A1:B100" xr:uid="{00000000-0009-0000-0000-000007000000}">
    <sortState xmlns:xlrd2="http://schemas.microsoft.com/office/spreadsheetml/2017/richdata2" ref="A2:B100">
      <sortCondition ref="A2:A100"/>
    </sortState>
  </autoFilter>
  <sortState xmlns:xlrd2="http://schemas.microsoft.com/office/spreadsheetml/2017/richdata2" ref="A2:B45">
    <sortCondition ref="A2:A45"/>
  </sortState>
  <pageMargins left="0.7" right="0.7" top="0.75" bottom="0.75" header="0.3" footer="0.3"/>
  <pageSetup paperSize="9" orientation="portrait" r:id="rId2"/>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rgb="FF7030A0"/>
    <pageSetUpPr fitToPage="1"/>
  </sheetPr>
  <dimension ref="A1:EG78"/>
  <sheetViews>
    <sheetView zoomScaleNormal="100" workbookViewId="0">
      <pane xSplit="5" ySplit="1" topLeftCell="AD2" activePane="bottomRight" state="frozen"/>
      <selection pane="topRight" activeCell="G1" sqref="G1"/>
      <selection pane="bottomLeft" activeCell="A2" sqref="A2"/>
      <selection pane="bottomRight" activeCell="AE21" sqref="AE21"/>
    </sheetView>
  </sheetViews>
  <sheetFormatPr defaultColWidth="9.1328125" defaultRowHeight="11.65"/>
  <cols>
    <col min="1" max="1" width="11.3984375" style="236" customWidth="1"/>
    <col min="2" max="2" width="10.3984375" style="236" customWidth="1"/>
    <col min="3" max="3" width="11" style="236" customWidth="1"/>
    <col min="4" max="4" width="6" style="280" customWidth="1"/>
    <col min="5" max="5" width="23.1328125" style="222" customWidth="1"/>
    <col min="6" max="6" width="10.1328125" style="234" customWidth="1"/>
    <col min="7" max="7" width="9.265625" style="48" customWidth="1"/>
    <col min="8" max="8" width="8.265625" style="234" customWidth="1"/>
    <col min="9" max="9" width="8.59765625" style="130" customWidth="1"/>
    <col min="10" max="10" width="8.86328125" style="51" customWidth="1"/>
    <col min="11" max="11" width="8.3984375" style="48" customWidth="1"/>
    <col min="12" max="12" width="10.265625" style="48" customWidth="1"/>
    <col min="13" max="13" width="11" style="48" customWidth="1"/>
    <col min="14" max="14" width="9.3984375" style="52" customWidth="1"/>
    <col min="15" max="15" width="9.3984375" style="48" customWidth="1"/>
    <col min="16" max="16" width="9.3984375" style="51" customWidth="1"/>
    <col min="17" max="17" width="9.3984375" style="50" customWidth="1"/>
    <col min="18" max="18" width="9.3984375" style="48" customWidth="1"/>
    <col min="19" max="19" width="9.3984375" style="51" customWidth="1"/>
    <col min="20" max="20" width="9.3984375" style="52" customWidth="1"/>
    <col min="21" max="21" width="9.3984375" style="53" customWidth="1"/>
    <col min="22" max="22" width="9.3984375" style="51" customWidth="1"/>
    <col min="23" max="23" width="9.3984375" style="50" customWidth="1"/>
    <col min="24" max="24" width="9.3984375" style="48" customWidth="1"/>
    <col min="25" max="25" width="9.3984375" style="51" customWidth="1"/>
    <col min="26" max="26" width="9.3984375" style="52" customWidth="1"/>
    <col min="27" max="27" width="9.3984375" style="53" customWidth="1"/>
    <col min="28" max="28" width="9.3984375" style="51" customWidth="1"/>
    <col min="29" max="29" width="9.3984375" style="47" customWidth="1"/>
    <col min="30" max="30" width="9.3984375" style="48" customWidth="1"/>
    <col min="31" max="31" width="9.3984375" style="51" customWidth="1"/>
    <col min="32" max="32" width="9.3984375" style="52" customWidth="1"/>
    <col min="33" max="33" width="9.3984375" style="53" customWidth="1"/>
    <col min="34" max="34" width="9.3984375" style="51" customWidth="1"/>
    <col min="35" max="35" width="9.3984375" style="47" customWidth="1"/>
    <col min="36" max="36" width="9.3984375" style="48" customWidth="1"/>
    <col min="37" max="37" width="9.3984375" style="51" customWidth="1"/>
    <col min="38" max="38" width="9.3984375" style="52" customWidth="1"/>
    <col min="39" max="39" width="9.3984375" style="53" customWidth="1"/>
    <col min="40" max="40" width="9.3984375" style="51" customWidth="1"/>
    <col min="41" max="41" width="9.3984375" style="47" customWidth="1"/>
    <col min="42" max="42" width="9.3984375" style="48" customWidth="1"/>
    <col min="43" max="43" width="9.3984375" style="51" customWidth="1"/>
    <col min="44" max="44" width="9.3984375" style="52" customWidth="1"/>
    <col min="45" max="45" width="9.3984375" style="53" customWidth="1"/>
    <col min="46" max="46" width="9.3984375" style="51" customWidth="1"/>
    <col min="47" max="47" width="9.3984375" style="47" customWidth="1"/>
    <col min="48" max="48" width="9.3984375" style="48" customWidth="1"/>
    <col min="49" max="49" width="9.3984375" style="51" customWidth="1"/>
    <col min="50" max="50" width="9.3984375" style="52" customWidth="1"/>
    <col min="51" max="51" width="9.3984375" style="53" customWidth="1"/>
    <col min="52" max="52" width="9.3984375" style="51" customWidth="1"/>
    <col min="53" max="53" width="9.3984375" style="47" customWidth="1"/>
    <col min="54" max="54" width="9.3984375" style="48" customWidth="1"/>
    <col min="55" max="55" width="9.3984375" style="51" customWidth="1"/>
    <col min="56" max="56" width="9.3984375" style="52" customWidth="1"/>
    <col min="57" max="57" width="9.3984375" style="53" customWidth="1"/>
    <col min="58" max="58" width="9.3984375" style="51" customWidth="1"/>
    <col min="59" max="59" width="9.3984375" style="47" customWidth="1"/>
    <col min="60" max="60" width="9.3984375" style="98" customWidth="1"/>
    <col min="61" max="61" width="9.3984375" style="51" customWidth="1"/>
    <col min="62" max="62" width="9.3984375" style="52" customWidth="1"/>
    <col min="63" max="63" width="9.3984375" style="53" customWidth="1"/>
    <col min="64" max="64" width="9.3984375" style="51" customWidth="1"/>
    <col min="65" max="65" width="9.3984375" style="47" customWidth="1"/>
    <col min="66" max="66" width="9.3984375" style="98" customWidth="1"/>
    <col min="67" max="67" width="9.3984375" style="51" customWidth="1"/>
    <col min="68" max="68" width="9.3984375" style="52" customWidth="1"/>
    <col min="69" max="69" width="9.3984375" style="53" customWidth="1"/>
    <col min="70" max="70" width="9.3984375" style="51" customWidth="1"/>
    <col min="71" max="71" width="9.3984375" style="47" customWidth="1"/>
    <col min="72" max="72" width="9.3984375" style="48" customWidth="1"/>
    <col min="73" max="73" width="9.3984375" style="51" customWidth="1"/>
    <col min="74" max="74" width="9.3984375" style="50" customWidth="1"/>
    <col min="75" max="75" width="9.3984375" style="48" customWidth="1"/>
    <col min="76" max="76" width="9.3984375" style="51" customWidth="1"/>
    <col min="77" max="129" width="9.1328125" style="47" customWidth="1"/>
    <col min="130" max="137" width="9.1328125" style="49" customWidth="1"/>
    <col min="138" max="16384" width="9.1328125" style="46"/>
  </cols>
  <sheetData>
    <row r="1" spans="1:137" s="309" customFormat="1" ht="44.25" customHeight="1">
      <c r="A1" s="293" t="s">
        <v>100</v>
      </c>
      <c r="B1" s="293" t="s">
        <v>101</v>
      </c>
      <c r="C1" s="293" t="s">
        <v>333</v>
      </c>
      <c r="D1" s="294" t="s">
        <v>217</v>
      </c>
      <c r="E1" s="295" t="s">
        <v>16</v>
      </c>
      <c r="F1" s="399" t="s">
        <v>398</v>
      </c>
      <c r="G1" s="400" t="s">
        <v>263</v>
      </c>
      <c r="H1" s="399" t="s">
        <v>126</v>
      </c>
      <c r="I1" s="401" t="s">
        <v>399</v>
      </c>
      <c r="J1" s="297" t="s">
        <v>220</v>
      </c>
      <c r="K1" s="298" t="s">
        <v>162</v>
      </c>
      <c r="L1" s="298" t="s">
        <v>400</v>
      </c>
      <c r="M1" s="296" t="s">
        <v>226</v>
      </c>
      <c r="N1" s="299" t="s">
        <v>58</v>
      </c>
      <c r="O1" s="300" t="s">
        <v>59</v>
      </c>
      <c r="P1" s="301" t="s">
        <v>103</v>
      </c>
      <c r="Q1" s="302" t="s">
        <v>60</v>
      </c>
      <c r="R1" s="303" t="s">
        <v>61</v>
      </c>
      <c r="S1" s="304" t="s">
        <v>104</v>
      </c>
      <c r="T1" s="299" t="s">
        <v>62</v>
      </c>
      <c r="U1" s="305" t="s">
        <v>63</v>
      </c>
      <c r="V1" s="301" t="s">
        <v>105</v>
      </c>
      <c r="W1" s="302" t="s">
        <v>64</v>
      </c>
      <c r="X1" s="303" t="s">
        <v>65</v>
      </c>
      <c r="Y1" s="304" t="s">
        <v>106</v>
      </c>
      <c r="Z1" s="299" t="s">
        <v>66</v>
      </c>
      <c r="AA1" s="305" t="s">
        <v>67</v>
      </c>
      <c r="AB1" s="301" t="s">
        <v>107</v>
      </c>
      <c r="AC1" s="302" t="s">
        <v>68</v>
      </c>
      <c r="AD1" s="303" t="s">
        <v>69</v>
      </c>
      <c r="AE1" s="304" t="s">
        <v>108</v>
      </c>
      <c r="AF1" s="299" t="s">
        <v>70</v>
      </c>
      <c r="AG1" s="305" t="s">
        <v>71</v>
      </c>
      <c r="AH1" s="301" t="s">
        <v>109</v>
      </c>
      <c r="AI1" s="302" t="s">
        <v>72</v>
      </c>
      <c r="AJ1" s="303" t="s">
        <v>73</v>
      </c>
      <c r="AK1" s="304" t="s">
        <v>110</v>
      </c>
      <c r="AL1" s="299" t="s">
        <v>74</v>
      </c>
      <c r="AM1" s="305" t="s">
        <v>75</v>
      </c>
      <c r="AN1" s="301" t="s">
        <v>111</v>
      </c>
      <c r="AO1" s="302" t="s">
        <v>76</v>
      </c>
      <c r="AP1" s="303" t="s">
        <v>77</v>
      </c>
      <c r="AQ1" s="304" t="s">
        <v>112</v>
      </c>
      <c r="AR1" s="299" t="s">
        <v>78</v>
      </c>
      <c r="AS1" s="305" t="s">
        <v>79</v>
      </c>
      <c r="AT1" s="301" t="s">
        <v>113</v>
      </c>
      <c r="AU1" s="302" t="s">
        <v>80</v>
      </c>
      <c r="AV1" s="303" t="s">
        <v>81</v>
      </c>
      <c r="AW1" s="304" t="s">
        <v>114</v>
      </c>
      <c r="AX1" s="299" t="s">
        <v>82</v>
      </c>
      <c r="AY1" s="305" t="s">
        <v>86</v>
      </c>
      <c r="AZ1" s="301" t="s">
        <v>115</v>
      </c>
      <c r="BA1" s="302" t="s">
        <v>87</v>
      </c>
      <c r="BB1" s="303" t="s">
        <v>83</v>
      </c>
      <c r="BC1" s="304" t="s">
        <v>116</v>
      </c>
      <c r="BD1" s="299" t="s">
        <v>84</v>
      </c>
      <c r="BE1" s="305" t="s">
        <v>85</v>
      </c>
      <c r="BF1" s="301" t="s">
        <v>117</v>
      </c>
      <c r="BG1" s="302" t="s">
        <v>88</v>
      </c>
      <c r="BH1" s="306" t="s">
        <v>89</v>
      </c>
      <c r="BI1" s="304" t="s">
        <v>118</v>
      </c>
      <c r="BJ1" s="299" t="s">
        <v>90</v>
      </c>
      <c r="BK1" s="305" t="s">
        <v>91</v>
      </c>
      <c r="BL1" s="301" t="s">
        <v>119</v>
      </c>
      <c r="BM1" s="302" t="s">
        <v>92</v>
      </c>
      <c r="BN1" s="306" t="s">
        <v>93</v>
      </c>
      <c r="BO1" s="304" t="s">
        <v>120</v>
      </c>
      <c r="BP1" s="299" t="s">
        <v>94</v>
      </c>
      <c r="BQ1" s="305" t="s">
        <v>95</v>
      </c>
      <c r="BR1" s="301" t="s">
        <v>121</v>
      </c>
      <c r="BS1" s="302" t="s">
        <v>96</v>
      </c>
      <c r="BT1" s="303" t="s">
        <v>97</v>
      </c>
      <c r="BU1" s="304" t="s">
        <v>122</v>
      </c>
      <c r="BV1" s="302" t="s">
        <v>98</v>
      </c>
      <c r="BW1" s="303" t="s">
        <v>99</v>
      </c>
      <c r="BX1" s="304" t="s">
        <v>123</v>
      </c>
      <c r="BY1" s="307"/>
      <c r="BZ1" s="307"/>
      <c r="CA1" s="307"/>
      <c r="CB1" s="307"/>
      <c r="CC1" s="307"/>
      <c r="CD1" s="307"/>
      <c r="CE1" s="307"/>
      <c r="CF1" s="307"/>
      <c r="CG1" s="307"/>
      <c r="CH1" s="307"/>
      <c r="CI1" s="307"/>
      <c r="CJ1" s="307"/>
      <c r="CK1" s="307"/>
      <c r="CL1" s="307"/>
      <c r="CM1" s="307"/>
      <c r="CN1" s="307"/>
      <c r="CO1" s="307"/>
      <c r="CP1" s="307"/>
      <c r="CQ1" s="307"/>
      <c r="CR1" s="307"/>
      <c r="CS1" s="307"/>
      <c r="CT1" s="307"/>
      <c r="CU1" s="307"/>
      <c r="CV1" s="307"/>
      <c r="CW1" s="307"/>
      <c r="CX1" s="307"/>
      <c r="CY1" s="307"/>
      <c r="CZ1" s="307"/>
      <c r="DA1" s="307"/>
      <c r="DB1" s="307"/>
      <c r="DC1" s="307"/>
      <c r="DD1" s="307"/>
      <c r="DE1" s="307"/>
      <c r="DF1" s="307"/>
      <c r="DG1" s="307"/>
      <c r="DH1" s="307"/>
      <c r="DI1" s="307"/>
      <c r="DJ1" s="307"/>
      <c r="DK1" s="307"/>
      <c r="DL1" s="307"/>
      <c r="DM1" s="307"/>
      <c r="DN1" s="307"/>
      <c r="DO1" s="307"/>
      <c r="DP1" s="307"/>
      <c r="DQ1" s="307"/>
      <c r="DR1" s="307"/>
      <c r="DS1" s="307"/>
      <c r="DT1" s="307"/>
      <c r="DU1" s="307"/>
      <c r="DV1" s="307"/>
      <c r="DW1" s="307"/>
      <c r="DX1" s="308"/>
      <c r="DY1" s="308"/>
      <c r="DZ1" s="308"/>
      <c r="EA1" s="308"/>
      <c r="EB1" s="308"/>
      <c r="EC1" s="308"/>
      <c r="ED1" s="308"/>
      <c r="EE1" s="308"/>
    </row>
    <row r="2" spans="1:137">
      <c r="A2" s="235">
        <f t="shared" ref="A2:A32" si="0">_xlfn.RANK.EQ(F2,totalscores,0)</f>
        <v>15</v>
      </c>
      <c r="B2" s="235">
        <f t="shared" ref="B2:B45" si="1">_xlfn.RANK.EQ(H2,thisweekscore,0)</f>
        <v>19</v>
      </c>
      <c r="C2" s="235"/>
      <c r="D2" s="279" t="str">
        <f>INDEX(Table!E:E,MATCH(E2,Table!F:F,0))</f>
        <v>C</v>
      </c>
      <c r="E2" s="221" t="s">
        <v>479</v>
      </c>
      <c r="F2" s="233">
        <f t="shared" ref="F2:F32" si="2">+N2+Q2+T2+W2+Z2+AC2+AF2+AI2+AL2+AO2+AR2+AU2+AX2+BA2+BD2+BG2+BJ2+BM2+BP2+BS2</f>
        <v>-10.729999999999995</v>
      </c>
      <c r="G2" s="54">
        <f t="shared" ref="G2:G32" si="3">+O2+R2+U2+X2+AA2+AD2+AG2+AJ2+AM2+AP2+AS2+AV2+AY2+BB2+BE2+BH2+BK2+BN2+BQ2+BT2</f>
        <v>6</v>
      </c>
      <c r="H2" s="225">
        <v>-3.9</v>
      </c>
      <c r="I2" s="231">
        <v>1</v>
      </c>
      <c r="J2" s="223">
        <f>P2+S2+V2+Y2+AB2+AE2+AH2+AK2+AN2+AQ2+AT2+AW2+AZ2+BC2+BF2+BI2+BL2+BO2+BR2+BU2</f>
        <v>5</v>
      </c>
      <c r="K2" s="224"/>
      <c r="L2" s="224">
        <f>INDEX(Table!M:M,MATCH(E2,Table!F:F,0))</f>
        <v>2.0249999999999999</v>
      </c>
      <c r="M2" s="223">
        <f>K2+J2+L2</f>
        <v>7.0250000000000004</v>
      </c>
      <c r="N2" s="225">
        <v>-3.7</v>
      </c>
      <c r="O2" s="226">
        <v>1</v>
      </c>
      <c r="P2" s="227"/>
      <c r="Q2" s="228">
        <v>-7</v>
      </c>
      <c r="R2" s="229">
        <v>0</v>
      </c>
      <c r="S2" s="230"/>
      <c r="T2" s="225">
        <v>-3.7</v>
      </c>
      <c r="U2" s="231">
        <v>1</v>
      </c>
      <c r="V2" s="227"/>
      <c r="W2" s="228">
        <v>-3.7</v>
      </c>
      <c r="X2" s="229">
        <v>1</v>
      </c>
      <c r="Y2" s="230"/>
      <c r="Z2" s="225">
        <v>11.270000000000003</v>
      </c>
      <c r="AA2" s="231">
        <v>2</v>
      </c>
      <c r="AB2" s="227">
        <v>5</v>
      </c>
      <c r="AC2" s="228">
        <v>-3.9</v>
      </c>
      <c r="AD2" s="229">
        <v>1</v>
      </c>
      <c r="AE2" s="230"/>
      <c r="AF2" s="225"/>
      <c r="AG2" s="231"/>
      <c r="AH2" s="227"/>
      <c r="AI2" s="228"/>
      <c r="AJ2" s="229"/>
      <c r="AK2" s="230"/>
      <c r="AL2" s="225"/>
      <c r="AM2" s="231"/>
      <c r="AN2" s="227"/>
      <c r="AO2" s="228"/>
      <c r="AP2" s="229"/>
      <c r="AQ2" s="230"/>
      <c r="AR2" s="225"/>
      <c r="AS2" s="231"/>
      <c r="AT2" s="227"/>
      <c r="AU2" s="228"/>
      <c r="AV2" s="229"/>
      <c r="AW2" s="230"/>
      <c r="AX2" s="225"/>
      <c r="AY2" s="231"/>
      <c r="AZ2" s="227"/>
      <c r="BA2" s="228"/>
      <c r="BB2" s="229"/>
      <c r="BC2" s="230"/>
      <c r="BD2" s="225"/>
      <c r="BE2" s="231"/>
      <c r="BF2" s="227"/>
      <c r="BG2" s="228"/>
      <c r="BH2" s="232"/>
      <c r="BI2" s="230"/>
      <c r="BJ2" s="225"/>
      <c r="BK2" s="231"/>
      <c r="BL2" s="227"/>
      <c r="BM2" s="228"/>
      <c r="BN2" s="232"/>
      <c r="BO2" s="230"/>
      <c r="BP2" s="225"/>
      <c r="BQ2" s="231"/>
      <c r="BR2" s="227"/>
      <c r="BS2" s="228"/>
      <c r="BT2" s="229"/>
      <c r="BU2" s="230"/>
      <c r="BV2" s="228">
        <f t="shared" ref="BV2:BV32" si="4">BS2+BP2+BM2+BJ2+BG2+BD2+BA2+AX2+AU2+AR2+AO2+AL2+AI2+AF2+AC2+Z2+W2+T2+Q2+N2</f>
        <v>-10.729999999999997</v>
      </c>
      <c r="BW2" s="229">
        <f t="shared" ref="BW2:BW32" si="5">BT2+BQ2+BN2+BK2+BH2+BE2+BB2+AY2+AV2+AS2+AP2+AM2+AJ2+AG2+AD2+AA2+X2+U2+R2+O2</f>
        <v>6</v>
      </c>
      <c r="BX2" s="230">
        <f t="shared" ref="BX2:BX32" si="6">BU2+BR2+BO2+BL2+BI2+BF2+BC2+AZ2+AW2+AT2+AQ2+AN2+AK2+AH2+AE2+AB2+Y2+V2+S2+P2</f>
        <v>5</v>
      </c>
      <c r="BY2" s="48"/>
      <c r="DX2" s="49"/>
      <c r="DY2" s="49"/>
      <c r="EF2" s="46"/>
      <c r="EG2" s="46"/>
    </row>
    <row r="3" spans="1:137">
      <c r="A3" s="235">
        <f t="shared" si="0"/>
        <v>19</v>
      </c>
      <c r="B3" s="235">
        <f t="shared" si="1"/>
        <v>6</v>
      </c>
      <c r="C3" s="235"/>
      <c r="D3" s="279" t="str">
        <f>INDEX(Table!E:E,MATCH(E3,Table!F:F,0))</f>
        <v>A</v>
      </c>
      <c r="E3" s="221" t="s">
        <v>282</v>
      </c>
      <c r="F3" s="233">
        <f t="shared" si="2"/>
        <v>-14.09</v>
      </c>
      <c r="G3" s="54">
        <f t="shared" si="3"/>
        <v>6</v>
      </c>
      <c r="H3" s="225">
        <v>9.16</v>
      </c>
      <c r="I3" s="231">
        <v>2</v>
      </c>
      <c r="J3" s="223">
        <f t="shared" ref="J3:J45" si="7">P3+S3+V3+Y3+AB3+AE3+AH3+AK3+AN3+AQ3+AT3+AW3+AZ3+BC3+BF3+BI3+BL3+BO3+BR3+BU3</f>
        <v>0</v>
      </c>
      <c r="K3" s="224"/>
      <c r="L3" s="224">
        <f>INDEX(Table!M:M,MATCH(E3,Table!F:F,0))</f>
        <v>6.75</v>
      </c>
      <c r="M3" s="223">
        <f t="shared" ref="M3:M45" si="8">K3+J3+L3</f>
        <v>6.75</v>
      </c>
      <c r="N3" s="225">
        <v>-7</v>
      </c>
      <c r="O3" s="226">
        <v>0</v>
      </c>
      <c r="P3" s="227"/>
      <c r="Q3" s="228">
        <v>-4.7</v>
      </c>
      <c r="R3" s="229">
        <v>1</v>
      </c>
      <c r="S3" s="230"/>
      <c r="T3" s="225">
        <v>-3.7</v>
      </c>
      <c r="U3" s="231">
        <v>1</v>
      </c>
      <c r="V3" s="227"/>
      <c r="W3" s="228">
        <v>-4.25</v>
      </c>
      <c r="X3" s="229">
        <v>1</v>
      </c>
      <c r="Y3" s="230"/>
      <c r="Z3" s="225">
        <v>-3.6</v>
      </c>
      <c r="AA3" s="231">
        <v>1</v>
      </c>
      <c r="AB3" s="227"/>
      <c r="AC3" s="228">
        <v>9.16</v>
      </c>
      <c r="AD3" s="229">
        <v>2</v>
      </c>
      <c r="AE3" s="230"/>
      <c r="AF3" s="225"/>
      <c r="AG3" s="231"/>
      <c r="AH3" s="227"/>
      <c r="AI3" s="228"/>
      <c r="AJ3" s="229"/>
      <c r="AK3" s="230"/>
      <c r="AL3" s="225"/>
      <c r="AM3" s="231"/>
      <c r="AN3" s="227"/>
      <c r="AO3" s="228"/>
      <c r="AP3" s="229"/>
      <c r="AQ3" s="230"/>
      <c r="AR3" s="225"/>
      <c r="AS3" s="231"/>
      <c r="AT3" s="227"/>
      <c r="AU3" s="228"/>
      <c r="AV3" s="229"/>
      <c r="AW3" s="230"/>
      <c r="AX3" s="225"/>
      <c r="AY3" s="231"/>
      <c r="AZ3" s="227"/>
      <c r="BA3" s="228"/>
      <c r="BB3" s="229"/>
      <c r="BC3" s="230"/>
      <c r="BD3" s="225"/>
      <c r="BE3" s="231"/>
      <c r="BF3" s="227"/>
      <c r="BG3" s="228"/>
      <c r="BH3" s="232"/>
      <c r="BI3" s="230"/>
      <c r="BJ3" s="225"/>
      <c r="BK3" s="231"/>
      <c r="BL3" s="227"/>
      <c r="BM3" s="228"/>
      <c r="BN3" s="232"/>
      <c r="BO3" s="230"/>
      <c r="BP3" s="225"/>
      <c r="BQ3" s="231"/>
      <c r="BR3" s="227"/>
      <c r="BS3" s="228"/>
      <c r="BT3" s="229"/>
      <c r="BU3" s="230"/>
      <c r="BV3" s="228">
        <f t="shared" si="4"/>
        <v>-14.09</v>
      </c>
      <c r="BW3" s="229">
        <f t="shared" si="5"/>
        <v>6</v>
      </c>
      <c r="BX3" s="230">
        <f t="shared" si="6"/>
        <v>0</v>
      </c>
      <c r="BY3" s="48"/>
      <c r="DX3" s="49"/>
      <c r="DY3" s="49"/>
      <c r="EF3" s="46"/>
      <c r="EG3" s="46"/>
    </row>
    <row r="4" spans="1:137">
      <c r="A4" s="235">
        <f t="shared" si="0"/>
        <v>44</v>
      </c>
      <c r="B4" s="235">
        <f t="shared" si="1"/>
        <v>35</v>
      </c>
      <c r="C4" s="235"/>
      <c r="D4" s="279" t="str">
        <f>INDEX(Table!E:E,MATCH(E4,Table!F:F,0))</f>
        <v>A</v>
      </c>
      <c r="E4" s="221" t="s">
        <v>414</v>
      </c>
      <c r="F4" s="233">
        <f t="shared" si="2"/>
        <v>-29.356363636363636</v>
      </c>
      <c r="G4" s="54">
        <f t="shared" si="3"/>
        <v>4</v>
      </c>
      <c r="H4" s="225">
        <v>-5.6363636363636367</v>
      </c>
      <c r="I4" s="231">
        <v>1</v>
      </c>
      <c r="J4" s="223">
        <f t="shared" si="7"/>
        <v>0</v>
      </c>
      <c r="K4" s="224"/>
      <c r="L4" s="224">
        <f>INDEX(Table!M:M,MATCH(E4,Table!F:F,0))</f>
        <v>0</v>
      </c>
      <c r="M4" s="223">
        <f t="shared" si="8"/>
        <v>0</v>
      </c>
      <c r="N4" s="225">
        <v>2.08</v>
      </c>
      <c r="O4" s="226">
        <v>2</v>
      </c>
      <c r="P4" s="227"/>
      <c r="Q4" s="228">
        <v>-4.8</v>
      </c>
      <c r="R4" s="229">
        <v>1</v>
      </c>
      <c r="S4" s="230"/>
      <c r="T4" s="225">
        <v>-7</v>
      </c>
      <c r="U4" s="231">
        <v>0</v>
      </c>
      <c r="V4" s="227"/>
      <c r="W4" s="228">
        <v>-7</v>
      </c>
      <c r="X4" s="229">
        <v>0</v>
      </c>
      <c r="Y4" s="230"/>
      <c r="Z4" s="225">
        <v>-7</v>
      </c>
      <c r="AA4" s="231">
        <v>0</v>
      </c>
      <c r="AB4" s="227"/>
      <c r="AC4" s="228">
        <v>-5.6363636363636367</v>
      </c>
      <c r="AD4" s="229">
        <v>1</v>
      </c>
      <c r="AE4" s="230"/>
      <c r="AF4" s="225"/>
      <c r="AG4" s="231"/>
      <c r="AH4" s="227"/>
      <c r="AI4" s="228"/>
      <c r="AJ4" s="229"/>
      <c r="AK4" s="230"/>
      <c r="AL4" s="225"/>
      <c r="AM4" s="231"/>
      <c r="AN4" s="227"/>
      <c r="AO4" s="228"/>
      <c r="AP4" s="229"/>
      <c r="AQ4" s="230"/>
      <c r="AR4" s="225"/>
      <c r="AS4" s="231"/>
      <c r="AT4" s="227"/>
      <c r="AU4" s="228"/>
      <c r="AV4" s="229"/>
      <c r="AW4" s="230"/>
      <c r="AX4" s="225"/>
      <c r="AY4" s="231"/>
      <c r="AZ4" s="227"/>
      <c r="BA4" s="228"/>
      <c r="BB4" s="229"/>
      <c r="BC4" s="230"/>
      <c r="BD4" s="225"/>
      <c r="BE4" s="231"/>
      <c r="BF4" s="227"/>
      <c r="BG4" s="228"/>
      <c r="BH4" s="232"/>
      <c r="BI4" s="230"/>
      <c r="BJ4" s="225"/>
      <c r="BK4" s="231"/>
      <c r="BL4" s="227"/>
      <c r="BM4" s="228"/>
      <c r="BN4" s="232"/>
      <c r="BO4" s="230"/>
      <c r="BP4" s="225"/>
      <c r="BQ4" s="231"/>
      <c r="BR4" s="227"/>
      <c r="BS4" s="228"/>
      <c r="BT4" s="229"/>
      <c r="BU4" s="230"/>
      <c r="BV4" s="228">
        <f t="shared" si="4"/>
        <v>-29.356363636363639</v>
      </c>
      <c r="BW4" s="229">
        <f t="shared" si="5"/>
        <v>4</v>
      </c>
      <c r="BX4" s="230">
        <f t="shared" si="6"/>
        <v>0</v>
      </c>
      <c r="BY4" s="48"/>
      <c r="DX4" s="49"/>
      <c r="DY4" s="49"/>
      <c r="EF4" s="46"/>
      <c r="EG4" s="46"/>
    </row>
    <row r="5" spans="1:137">
      <c r="A5" s="235">
        <f t="shared" si="0"/>
        <v>12</v>
      </c>
      <c r="B5" s="235">
        <f t="shared" si="1"/>
        <v>23</v>
      </c>
      <c r="C5" s="235"/>
      <c r="D5" s="279" t="str">
        <f>INDEX(Table!E:E,MATCH(E5,Table!F:F,0))</f>
        <v>C</v>
      </c>
      <c r="E5" s="221" t="s">
        <v>495</v>
      </c>
      <c r="F5" s="233">
        <f t="shared" si="2"/>
        <v>-9.3671900826446262</v>
      </c>
      <c r="G5" s="54">
        <f t="shared" si="3"/>
        <v>8</v>
      </c>
      <c r="H5" s="225">
        <v>-4.8</v>
      </c>
      <c r="I5" s="231">
        <v>1</v>
      </c>
      <c r="J5" s="223">
        <f t="shared" si="7"/>
        <v>0</v>
      </c>
      <c r="K5" s="224"/>
      <c r="L5" s="224">
        <f>INDEX(Table!M:M,MATCH(E5,Table!F:F,0))</f>
        <v>4.7249999999999996</v>
      </c>
      <c r="M5" s="223">
        <f t="shared" si="8"/>
        <v>4.7249999999999996</v>
      </c>
      <c r="N5" s="225">
        <v>2.7100000000000009</v>
      </c>
      <c r="O5" s="226">
        <v>2</v>
      </c>
      <c r="P5" s="227"/>
      <c r="Q5" s="228">
        <v>0.46280991735537214</v>
      </c>
      <c r="R5" s="229">
        <v>2</v>
      </c>
      <c r="S5" s="230"/>
      <c r="T5" s="225">
        <v>-4.95</v>
      </c>
      <c r="U5" s="231">
        <v>1</v>
      </c>
      <c r="V5" s="227"/>
      <c r="W5" s="228">
        <v>-7</v>
      </c>
      <c r="X5" s="229">
        <v>0</v>
      </c>
      <c r="Y5" s="230"/>
      <c r="Z5" s="225">
        <v>4.2100000000000009</v>
      </c>
      <c r="AA5" s="231">
        <v>2</v>
      </c>
      <c r="AB5" s="227"/>
      <c r="AC5" s="228">
        <v>-4.8</v>
      </c>
      <c r="AD5" s="229">
        <v>1</v>
      </c>
      <c r="AE5" s="230"/>
      <c r="AF5" s="225"/>
      <c r="AG5" s="231"/>
      <c r="AH5" s="227"/>
      <c r="AI5" s="228"/>
      <c r="AJ5" s="229"/>
      <c r="AK5" s="230"/>
      <c r="AL5" s="225"/>
      <c r="AM5" s="231"/>
      <c r="AN5" s="227"/>
      <c r="AO5" s="228"/>
      <c r="AP5" s="229"/>
      <c r="AQ5" s="230"/>
      <c r="AR5" s="225"/>
      <c r="AS5" s="231"/>
      <c r="AT5" s="227"/>
      <c r="AU5" s="228"/>
      <c r="AV5" s="229"/>
      <c r="AW5" s="230"/>
      <c r="AX5" s="225"/>
      <c r="AY5" s="231"/>
      <c r="AZ5" s="227"/>
      <c r="BA5" s="228"/>
      <c r="BB5" s="229"/>
      <c r="BC5" s="230"/>
      <c r="BD5" s="225"/>
      <c r="BE5" s="231"/>
      <c r="BF5" s="227"/>
      <c r="BG5" s="228"/>
      <c r="BH5" s="232"/>
      <c r="BI5" s="230"/>
      <c r="BJ5" s="225"/>
      <c r="BK5" s="231"/>
      <c r="BL5" s="227"/>
      <c r="BM5" s="228"/>
      <c r="BN5" s="232"/>
      <c r="BO5" s="230"/>
      <c r="BP5" s="225"/>
      <c r="BQ5" s="231"/>
      <c r="BR5" s="227"/>
      <c r="BS5" s="228"/>
      <c r="BT5" s="229"/>
      <c r="BU5" s="230"/>
      <c r="BV5" s="228">
        <f t="shared" si="4"/>
        <v>-9.3671900826446262</v>
      </c>
      <c r="BW5" s="229">
        <f t="shared" si="5"/>
        <v>8</v>
      </c>
      <c r="BX5" s="230">
        <f t="shared" si="6"/>
        <v>0</v>
      </c>
      <c r="BY5" s="48"/>
      <c r="DX5" s="49"/>
      <c r="DY5" s="49"/>
      <c r="EF5" s="46"/>
      <c r="EG5" s="46"/>
    </row>
    <row r="6" spans="1:137">
      <c r="A6" s="235">
        <f t="shared" si="0"/>
        <v>9</v>
      </c>
      <c r="B6" s="235">
        <f t="shared" si="1"/>
        <v>4</v>
      </c>
      <c r="C6" s="235"/>
      <c r="D6" s="279" t="str">
        <f>INDEX(Table!E:E,MATCH(E6,Table!F:F,0))</f>
        <v>C</v>
      </c>
      <c r="E6" s="221" t="s">
        <v>298</v>
      </c>
      <c r="F6" s="233">
        <f t="shared" si="2"/>
        <v>-4.8249999999999993</v>
      </c>
      <c r="G6" s="54">
        <f t="shared" si="3"/>
        <v>5</v>
      </c>
      <c r="H6" s="225">
        <v>9.6000000000000014</v>
      </c>
      <c r="I6" s="231">
        <v>2</v>
      </c>
      <c r="J6" s="223">
        <f t="shared" si="7"/>
        <v>7.5</v>
      </c>
      <c r="K6" s="224"/>
      <c r="L6" s="224">
        <f>INDEX(Table!M:M,MATCH(E6,Table!F:F,0))</f>
        <v>12.15</v>
      </c>
      <c r="M6" s="223">
        <f t="shared" si="8"/>
        <v>19.649999999999999</v>
      </c>
      <c r="N6" s="225">
        <v>-7</v>
      </c>
      <c r="O6" s="226">
        <v>0</v>
      </c>
      <c r="P6" s="227"/>
      <c r="Q6" s="228">
        <v>-3.7</v>
      </c>
      <c r="R6" s="229">
        <v>1</v>
      </c>
      <c r="S6" s="230"/>
      <c r="T6" s="225">
        <v>10.274999999999999</v>
      </c>
      <c r="U6" s="231">
        <v>2</v>
      </c>
      <c r="V6" s="227">
        <v>5</v>
      </c>
      <c r="W6" s="228">
        <v>-7</v>
      </c>
      <c r="X6" s="229">
        <v>0</v>
      </c>
      <c r="Y6" s="230"/>
      <c r="Z6" s="225">
        <v>-7</v>
      </c>
      <c r="AA6" s="231">
        <v>0</v>
      </c>
      <c r="AB6" s="227"/>
      <c r="AC6" s="228">
        <v>9.6000000000000014</v>
      </c>
      <c r="AD6" s="229">
        <v>2</v>
      </c>
      <c r="AE6" s="230">
        <v>2.5</v>
      </c>
      <c r="AF6" s="225"/>
      <c r="AG6" s="231"/>
      <c r="AH6" s="227"/>
      <c r="AI6" s="228"/>
      <c r="AJ6" s="229"/>
      <c r="AK6" s="230"/>
      <c r="AL6" s="225"/>
      <c r="AM6" s="231"/>
      <c r="AN6" s="227"/>
      <c r="AO6" s="228"/>
      <c r="AP6" s="229"/>
      <c r="AQ6" s="230"/>
      <c r="AR6" s="225"/>
      <c r="AS6" s="231"/>
      <c r="AT6" s="227"/>
      <c r="AU6" s="228"/>
      <c r="AV6" s="229"/>
      <c r="AW6" s="230"/>
      <c r="AX6" s="225"/>
      <c r="AY6" s="231"/>
      <c r="AZ6" s="227"/>
      <c r="BA6" s="228"/>
      <c r="BB6" s="229"/>
      <c r="BC6" s="230"/>
      <c r="BD6" s="225"/>
      <c r="BE6" s="231"/>
      <c r="BF6" s="227"/>
      <c r="BG6" s="228"/>
      <c r="BH6" s="232"/>
      <c r="BI6" s="230"/>
      <c r="BJ6" s="225"/>
      <c r="BK6" s="231"/>
      <c r="BL6" s="227"/>
      <c r="BM6" s="228"/>
      <c r="BN6" s="232"/>
      <c r="BO6" s="230"/>
      <c r="BP6" s="225"/>
      <c r="BQ6" s="231"/>
      <c r="BR6" s="227"/>
      <c r="BS6" s="228"/>
      <c r="BT6" s="229"/>
      <c r="BU6" s="230"/>
      <c r="BV6" s="228">
        <f t="shared" si="4"/>
        <v>-4.8250000000000002</v>
      </c>
      <c r="BW6" s="229">
        <f t="shared" si="5"/>
        <v>5</v>
      </c>
      <c r="BX6" s="230">
        <f t="shared" si="6"/>
        <v>7.5</v>
      </c>
      <c r="BY6" s="48"/>
      <c r="DX6" s="49"/>
      <c r="DY6" s="49"/>
      <c r="EF6" s="46"/>
      <c r="EG6" s="46"/>
    </row>
    <row r="7" spans="1:137">
      <c r="A7" s="235">
        <f t="shared" si="0"/>
        <v>45</v>
      </c>
      <c r="B7" s="235">
        <f t="shared" si="1"/>
        <v>20</v>
      </c>
      <c r="C7" s="235"/>
      <c r="D7" s="279" t="str">
        <f>INDEX(Table!E:E,MATCH(E7,Table!F:F,0))</f>
        <v>C</v>
      </c>
      <c r="E7" s="221" t="s">
        <v>274</v>
      </c>
      <c r="F7" s="233">
        <f t="shared" si="2"/>
        <v>-31.590909090909093</v>
      </c>
      <c r="G7" s="54">
        <f t="shared" si="3"/>
        <v>4</v>
      </c>
      <c r="H7" s="225">
        <v>-4.5999999999999996</v>
      </c>
      <c r="I7" s="231">
        <v>1</v>
      </c>
      <c r="J7" s="223">
        <f t="shared" si="7"/>
        <v>0</v>
      </c>
      <c r="K7" s="224"/>
      <c r="L7" s="224">
        <f>INDEX(Table!M:M,MATCH(E7,Table!F:F,0))</f>
        <v>0</v>
      </c>
      <c r="M7" s="223">
        <f t="shared" si="8"/>
        <v>0</v>
      </c>
      <c r="N7" s="225">
        <v>-4.3</v>
      </c>
      <c r="O7" s="226">
        <v>1</v>
      </c>
      <c r="P7" s="227"/>
      <c r="Q7" s="228">
        <v>-5.0909090909090908</v>
      </c>
      <c r="R7" s="229">
        <v>1</v>
      </c>
      <c r="S7" s="230"/>
      <c r="T7" s="225">
        <v>-7</v>
      </c>
      <c r="U7" s="231">
        <v>0</v>
      </c>
      <c r="V7" s="227"/>
      <c r="W7" s="228">
        <v>-3.6</v>
      </c>
      <c r="X7" s="229">
        <v>1</v>
      </c>
      <c r="Y7" s="230"/>
      <c r="Z7" s="225">
        <v>-7</v>
      </c>
      <c r="AA7" s="231">
        <v>0</v>
      </c>
      <c r="AB7" s="227"/>
      <c r="AC7" s="228">
        <v>-4.5999999999999996</v>
      </c>
      <c r="AD7" s="229">
        <v>1</v>
      </c>
      <c r="AE7" s="230"/>
      <c r="AF7" s="225"/>
      <c r="AG7" s="231"/>
      <c r="AH7" s="227"/>
      <c r="AI7" s="228"/>
      <c r="AJ7" s="229"/>
      <c r="AK7" s="230"/>
      <c r="AL7" s="225"/>
      <c r="AM7" s="231"/>
      <c r="AN7" s="227"/>
      <c r="AO7" s="228"/>
      <c r="AP7" s="229"/>
      <c r="AQ7" s="230"/>
      <c r="AR7" s="225"/>
      <c r="AS7" s="231"/>
      <c r="AT7" s="227"/>
      <c r="AU7" s="228"/>
      <c r="AV7" s="229"/>
      <c r="AW7" s="230"/>
      <c r="AX7" s="225"/>
      <c r="AY7" s="231"/>
      <c r="AZ7" s="227"/>
      <c r="BA7" s="228"/>
      <c r="BB7" s="229"/>
      <c r="BC7" s="230"/>
      <c r="BD7" s="225"/>
      <c r="BE7" s="231"/>
      <c r="BF7" s="227"/>
      <c r="BG7" s="228"/>
      <c r="BH7" s="232"/>
      <c r="BI7" s="230"/>
      <c r="BJ7" s="225"/>
      <c r="BK7" s="231"/>
      <c r="BL7" s="227"/>
      <c r="BM7" s="228"/>
      <c r="BN7" s="232"/>
      <c r="BO7" s="230"/>
      <c r="BP7" s="225"/>
      <c r="BQ7" s="231"/>
      <c r="BR7" s="227"/>
      <c r="BS7" s="228"/>
      <c r="BT7" s="229"/>
      <c r="BU7" s="230"/>
      <c r="BV7" s="228">
        <f t="shared" si="4"/>
        <v>-31.59090909090909</v>
      </c>
      <c r="BW7" s="229">
        <f t="shared" si="5"/>
        <v>4</v>
      </c>
      <c r="BX7" s="230">
        <f t="shared" si="6"/>
        <v>0</v>
      </c>
      <c r="BY7" s="48"/>
      <c r="DX7" s="49"/>
      <c r="DY7" s="49"/>
      <c r="EF7" s="46"/>
      <c r="EG7" s="46"/>
    </row>
    <row r="8" spans="1:137">
      <c r="A8" s="235">
        <f t="shared" si="0"/>
        <v>39</v>
      </c>
      <c r="B8" s="235">
        <f t="shared" si="1"/>
        <v>35</v>
      </c>
      <c r="C8" s="235"/>
      <c r="D8" s="279" t="str">
        <f>INDEX(Table!E:E,MATCH(E8,Table!F:F,0))</f>
        <v>A</v>
      </c>
      <c r="E8" s="221" t="s">
        <v>268</v>
      </c>
      <c r="F8" s="233">
        <f t="shared" si="2"/>
        <v>-25.903181818181814</v>
      </c>
      <c r="G8" s="54">
        <f t="shared" si="3"/>
        <v>6</v>
      </c>
      <c r="H8" s="225">
        <v>-5.6363636363636367</v>
      </c>
      <c r="I8" s="231">
        <v>1</v>
      </c>
      <c r="J8" s="223">
        <f t="shared" si="7"/>
        <v>0</v>
      </c>
      <c r="K8" s="224"/>
      <c r="L8" s="224">
        <f>INDEX(Table!M:M,MATCH(E8,Table!F:F,0))</f>
        <v>0</v>
      </c>
      <c r="M8" s="223">
        <f t="shared" si="8"/>
        <v>0</v>
      </c>
      <c r="N8" s="225">
        <v>-7</v>
      </c>
      <c r="O8" s="226">
        <v>0</v>
      </c>
      <c r="P8" s="227"/>
      <c r="Q8" s="228">
        <v>-5.0909090909090908</v>
      </c>
      <c r="R8" s="229">
        <v>1</v>
      </c>
      <c r="S8" s="230"/>
      <c r="T8" s="225">
        <v>-5.0909090909090908</v>
      </c>
      <c r="U8" s="231">
        <v>1</v>
      </c>
      <c r="V8" s="227"/>
      <c r="W8" s="228">
        <v>-4.4000000000000004</v>
      </c>
      <c r="X8" s="229">
        <v>1</v>
      </c>
      <c r="Y8" s="230"/>
      <c r="Z8" s="225">
        <v>1.3150000000000013</v>
      </c>
      <c r="AA8" s="231">
        <v>2</v>
      </c>
      <c r="AB8" s="227"/>
      <c r="AC8" s="228">
        <v>-5.6363636363636367</v>
      </c>
      <c r="AD8" s="229">
        <v>1</v>
      </c>
      <c r="AE8" s="230"/>
      <c r="AF8" s="225"/>
      <c r="AG8" s="231"/>
      <c r="AH8" s="227"/>
      <c r="AI8" s="228"/>
      <c r="AJ8" s="229"/>
      <c r="AK8" s="230"/>
      <c r="AL8" s="225"/>
      <c r="AM8" s="231"/>
      <c r="AN8" s="227"/>
      <c r="AO8" s="228"/>
      <c r="AP8" s="229"/>
      <c r="AQ8" s="230"/>
      <c r="AR8" s="225"/>
      <c r="AS8" s="231"/>
      <c r="AT8" s="227"/>
      <c r="AU8" s="228"/>
      <c r="AV8" s="229"/>
      <c r="AW8" s="230"/>
      <c r="AX8" s="225"/>
      <c r="AY8" s="231"/>
      <c r="AZ8" s="227"/>
      <c r="BA8" s="228"/>
      <c r="BB8" s="229"/>
      <c r="BC8" s="230"/>
      <c r="BD8" s="225"/>
      <c r="BE8" s="231"/>
      <c r="BF8" s="227"/>
      <c r="BG8" s="228"/>
      <c r="BH8" s="232"/>
      <c r="BI8" s="230"/>
      <c r="BJ8" s="225"/>
      <c r="BK8" s="231"/>
      <c r="BL8" s="227"/>
      <c r="BM8" s="228"/>
      <c r="BN8" s="232"/>
      <c r="BO8" s="230"/>
      <c r="BP8" s="225"/>
      <c r="BQ8" s="231"/>
      <c r="BR8" s="227"/>
      <c r="BS8" s="228"/>
      <c r="BT8" s="229"/>
      <c r="BU8" s="230"/>
      <c r="BV8" s="228">
        <f t="shared" si="4"/>
        <v>-25.903181818181817</v>
      </c>
      <c r="BW8" s="229">
        <f t="shared" si="5"/>
        <v>6</v>
      </c>
      <c r="BX8" s="230">
        <f t="shared" si="6"/>
        <v>0</v>
      </c>
      <c r="BY8" s="48"/>
      <c r="DX8" s="49"/>
      <c r="DY8" s="49"/>
      <c r="EF8" s="46"/>
      <c r="EG8" s="46"/>
    </row>
    <row r="9" spans="1:137">
      <c r="A9" s="235">
        <f t="shared" si="0"/>
        <v>22</v>
      </c>
      <c r="B9" s="235">
        <f t="shared" si="1"/>
        <v>8</v>
      </c>
      <c r="C9" s="235"/>
      <c r="D9" s="279" t="str">
        <f>INDEX(Table!E:E,MATCH(E9,Table!F:F,0))</f>
        <v>B</v>
      </c>
      <c r="E9" s="221" t="s">
        <v>346</v>
      </c>
      <c r="F9" s="233">
        <f t="shared" si="2"/>
        <v>-15.609999999999998</v>
      </c>
      <c r="G9" s="54">
        <f t="shared" si="3"/>
        <v>5</v>
      </c>
      <c r="H9" s="225">
        <v>5.9399999999999995</v>
      </c>
      <c r="I9" s="231">
        <v>2</v>
      </c>
      <c r="J9" s="223">
        <f t="shared" si="7"/>
        <v>0</v>
      </c>
      <c r="K9" s="224"/>
      <c r="L9" s="224">
        <f>INDEX(Table!M:M,MATCH(E9,Table!F:F,0))</f>
        <v>0</v>
      </c>
      <c r="M9" s="223">
        <f t="shared" si="8"/>
        <v>0</v>
      </c>
      <c r="N9" s="225">
        <v>3.0500000000000007</v>
      </c>
      <c r="O9" s="226">
        <v>2</v>
      </c>
      <c r="P9" s="227"/>
      <c r="Q9" s="228">
        <v>-7</v>
      </c>
      <c r="R9" s="229">
        <v>0</v>
      </c>
      <c r="S9" s="230"/>
      <c r="T9" s="225">
        <v>-7</v>
      </c>
      <c r="U9" s="231">
        <v>0</v>
      </c>
      <c r="V9" s="227"/>
      <c r="W9" s="228">
        <v>-3.6</v>
      </c>
      <c r="X9" s="229">
        <v>1</v>
      </c>
      <c r="Y9" s="230"/>
      <c r="Z9" s="225">
        <v>-7</v>
      </c>
      <c r="AA9" s="231">
        <v>0</v>
      </c>
      <c r="AB9" s="227"/>
      <c r="AC9" s="228">
        <v>5.9399999999999995</v>
      </c>
      <c r="AD9" s="229">
        <v>2</v>
      </c>
      <c r="AE9" s="230"/>
      <c r="AF9" s="225"/>
      <c r="AG9" s="231"/>
      <c r="AH9" s="227"/>
      <c r="AI9" s="228"/>
      <c r="AJ9" s="229"/>
      <c r="AK9" s="230"/>
      <c r="AL9" s="225"/>
      <c r="AM9" s="231"/>
      <c r="AN9" s="227"/>
      <c r="AO9" s="228"/>
      <c r="AP9" s="229"/>
      <c r="AQ9" s="230"/>
      <c r="AR9" s="225"/>
      <c r="AS9" s="231"/>
      <c r="AT9" s="227"/>
      <c r="AU9" s="228"/>
      <c r="AV9" s="229"/>
      <c r="AW9" s="230"/>
      <c r="AX9" s="225"/>
      <c r="AY9" s="231"/>
      <c r="AZ9" s="227"/>
      <c r="BA9" s="228"/>
      <c r="BB9" s="229"/>
      <c r="BC9" s="230"/>
      <c r="BD9" s="225"/>
      <c r="BE9" s="231"/>
      <c r="BF9" s="227"/>
      <c r="BG9" s="228"/>
      <c r="BH9" s="232"/>
      <c r="BI9" s="230"/>
      <c r="BJ9" s="225"/>
      <c r="BK9" s="231"/>
      <c r="BL9" s="227"/>
      <c r="BM9" s="228"/>
      <c r="BN9" s="232"/>
      <c r="BO9" s="230"/>
      <c r="BP9" s="225"/>
      <c r="BQ9" s="231"/>
      <c r="BR9" s="227"/>
      <c r="BS9" s="228"/>
      <c r="BT9" s="229"/>
      <c r="BU9" s="230"/>
      <c r="BV9" s="228">
        <f t="shared" si="4"/>
        <v>-15.61</v>
      </c>
      <c r="BW9" s="229">
        <f t="shared" si="5"/>
        <v>5</v>
      </c>
      <c r="BX9" s="230">
        <f t="shared" si="6"/>
        <v>0</v>
      </c>
      <c r="BY9" s="48"/>
      <c r="DX9" s="49"/>
      <c r="DY9" s="49"/>
      <c r="EF9" s="46"/>
      <c r="EG9" s="46"/>
    </row>
    <row r="10" spans="1:137">
      <c r="A10" s="235">
        <f t="shared" si="0"/>
        <v>35</v>
      </c>
      <c r="B10" s="235">
        <f t="shared" si="1"/>
        <v>20</v>
      </c>
      <c r="C10" s="235"/>
      <c r="D10" s="279" t="str">
        <f>INDEX(Table!E:E,MATCH(E10,Table!F:F,0))</f>
        <v>C</v>
      </c>
      <c r="E10" s="221" t="s">
        <v>480</v>
      </c>
      <c r="F10" s="233">
        <f t="shared" si="2"/>
        <v>-22.25</v>
      </c>
      <c r="G10" s="54">
        <f t="shared" si="3"/>
        <v>7</v>
      </c>
      <c r="H10" s="225">
        <v>-4.5999999999999996</v>
      </c>
      <c r="I10" s="231">
        <v>1</v>
      </c>
      <c r="J10" s="223">
        <f t="shared" si="7"/>
        <v>0</v>
      </c>
      <c r="K10" s="224"/>
      <c r="L10" s="224">
        <f>INDEX(Table!M:M,MATCH(E10,Table!F:F,0))</f>
        <v>0</v>
      </c>
      <c r="M10" s="223">
        <f t="shared" si="8"/>
        <v>0</v>
      </c>
      <c r="N10" s="225">
        <v>0.39999999999999947</v>
      </c>
      <c r="O10" s="226">
        <v>2</v>
      </c>
      <c r="P10" s="227"/>
      <c r="Q10" s="228">
        <v>-3.7</v>
      </c>
      <c r="R10" s="229">
        <v>1</v>
      </c>
      <c r="S10" s="230"/>
      <c r="T10" s="225">
        <v>-3.7</v>
      </c>
      <c r="U10" s="231">
        <v>1</v>
      </c>
      <c r="V10" s="227"/>
      <c r="W10" s="228">
        <v>-5.4</v>
      </c>
      <c r="X10" s="229">
        <v>1</v>
      </c>
      <c r="Y10" s="230"/>
      <c r="Z10" s="225">
        <v>-5.25</v>
      </c>
      <c r="AA10" s="231">
        <v>1</v>
      </c>
      <c r="AB10" s="227"/>
      <c r="AC10" s="228">
        <v>-4.5999999999999996</v>
      </c>
      <c r="AD10" s="229">
        <v>1</v>
      </c>
      <c r="AE10" s="230"/>
      <c r="AF10" s="225"/>
      <c r="AG10" s="231"/>
      <c r="AH10" s="227"/>
      <c r="AI10" s="228"/>
      <c r="AJ10" s="229"/>
      <c r="AK10" s="230"/>
      <c r="AL10" s="225"/>
      <c r="AM10" s="231"/>
      <c r="AN10" s="227"/>
      <c r="AO10" s="228"/>
      <c r="AP10" s="229"/>
      <c r="AQ10" s="230"/>
      <c r="AR10" s="225"/>
      <c r="AS10" s="231"/>
      <c r="AT10" s="227"/>
      <c r="AU10" s="228"/>
      <c r="AV10" s="229"/>
      <c r="AW10" s="230"/>
      <c r="AX10" s="225"/>
      <c r="AY10" s="231"/>
      <c r="AZ10" s="227"/>
      <c r="BA10" s="228"/>
      <c r="BB10" s="229"/>
      <c r="BC10" s="230"/>
      <c r="BD10" s="225"/>
      <c r="BE10" s="231"/>
      <c r="BF10" s="227"/>
      <c r="BG10" s="228"/>
      <c r="BH10" s="232"/>
      <c r="BI10" s="230"/>
      <c r="BJ10" s="225"/>
      <c r="BK10" s="231"/>
      <c r="BL10" s="227"/>
      <c r="BM10" s="228"/>
      <c r="BN10" s="232"/>
      <c r="BO10" s="230"/>
      <c r="BP10" s="225"/>
      <c r="BQ10" s="231"/>
      <c r="BR10" s="227"/>
      <c r="BS10" s="228"/>
      <c r="BT10" s="229"/>
      <c r="BU10" s="230"/>
      <c r="BV10" s="228">
        <f t="shared" si="4"/>
        <v>-22.25</v>
      </c>
      <c r="BW10" s="229">
        <f t="shared" si="5"/>
        <v>7</v>
      </c>
      <c r="BX10" s="230">
        <f t="shared" si="6"/>
        <v>0</v>
      </c>
      <c r="BY10" s="48"/>
      <c r="DX10" s="49"/>
      <c r="DY10" s="49"/>
      <c r="EF10" s="46"/>
      <c r="EG10" s="46"/>
    </row>
    <row r="11" spans="1:137">
      <c r="A11" s="235">
        <f t="shared" si="0"/>
        <v>37</v>
      </c>
      <c r="B11" s="235">
        <f t="shared" si="1"/>
        <v>40</v>
      </c>
      <c r="C11" s="235"/>
      <c r="D11" s="279" t="str">
        <f>INDEX(Table!E:E,MATCH(E11,Table!F:F,0))</f>
        <v>C</v>
      </c>
      <c r="E11" s="221" t="s">
        <v>291</v>
      </c>
      <c r="F11" s="233">
        <f t="shared" si="2"/>
        <v>-25.734999999999999</v>
      </c>
      <c r="G11" s="54">
        <f t="shared" si="3"/>
        <v>3</v>
      </c>
      <c r="H11" s="225">
        <v>-7</v>
      </c>
      <c r="I11" s="231">
        <v>0</v>
      </c>
      <c r="J11" s="223">
        <f t="shared" si="7"/>
        <v>0</v>
      </c>
      <c r="K11" s="224"/>
      <c r="L11" s="224">
        <f>INDEX(Table!M:M,MATCH(E11,Table!F:F,0))</f>
        <v>0</v>
      </c>
      <c r="M11" s="223">
        <f t="shared" si="8"/>
        <v>0</v>
      </c>
      <c r="N11" s="225">
        <v>0.5</v>
      </c>
      <c r="O11" s="226">
        <v>1</v>
      </c>
      <c r="P11" s="227"/>
      <c r="Q11" s="228">
        <v>-7</v>
      </c>
      <c r="R11" s="229">
        <v>0</v>
      </c>
      <c r="S11" s="230"/>
      <c r="T11" s="225">
        <v>1.7650000000000006</v>
      </c>
      <c r="U11" s="231">
        <v>2</v>
      </c>
      <c r="V11" s="227"/>
      <c r="W11" s="228">
        <v>-7</v>
      </c>
      <c r="X11" s="229">
        <v>0</v>
      </c>
      <c r="Y11" s="230"/>
      <c r="Z11" s="225">
        <v>-7</v>
      </c>
      <c r="AA11" s="231">
        <v>0</v>
      </c>
      <c r="AB11" s="227"/>
      <c r="AC11" s="228">
        <v>-7</v>
      </c>
      <c r="AD11" s="229">
        <v>0</v>
      </c>
      <c r="AE11" s="230"/>
      <c r="AF11" s="225"/>
      <c r="AG11" s="231"/>
      <c r="AH11" s="227"/>
      <c r="AI11" s="228"/>
      <c r="AJ11" s="229"/>
      <c r="AK11" s="230"/>
      <c r="AL11" s="225"/>
      <c r="AM11" s="231"/>
      <c r="AN11" s="227"/>
      <c r="AO11" s="228"/>
      <c r="AP11" s="229"/>
      <c r="AQ11" s="230"/>
      <c r="AR11" s="225"/>
      <c r="AS11" s="231"/>
      <c r="AT11" s="227"/>
      <c r="AU11" s="228"/>
      <c r="AV11" s="229"/>
      <c r="AW11" s="230"/>
      <c r="AX11" s="225"/>
      <c r="AY11" s="231"/>
      <c r="AZ11" s="227"/>
      <c r="BA11" s="228"/>
      <c r="BB11" s="229"/>
      <c r="BC11" s="230"/>
      <c r="BD11" s="225"/>
      <c r="BE11" s="231"/>
      <c r="BF11" s="227"/>
      <c r="BG11" s="228"/>
      <c r="BH11" s="232"/>
      <c r="BI11" s="230"/>
      <c r="BJ11" s="225"/>
      <c r="BK11" s="231"/>
      <c r="BL11" s="227"/>
      <c r="BM11" s="228"/>
      <c r="BN11" s="232"/>
      <c r="BO11" s="230"/>
      <c r="BP11" s="225"/>
      <c r="BQ11" s="231"/>
      <c r="BR11" s="227"/>
      <c r="BS11" s="228"/>
      <c r="BT11" s="229"/>
      <c r="BU11" s="230"/>
      <c r="BV11" s="228">
        <f t="shared" si="4"/>
        <v>-25.734999999999999</v>
      </c>
      <c r="BW11" s="229">
        <f t="shared" si="5"/>
        <v>3</v>
      </c>
      <c r="BX11" s="230">
        <f t="shared" si="6"/>
        <v>0</v>
      </c>
      <c r="BY11" s="48"/>
      <c r="DX11" s="49"/>
      <c r="DY11" s="49"/>
      <c r="EF11" s="46"/>
      <c r="EG11" s="46"/>
    </row>
    <row r="12" spans="1:137">
      <c r="A12" s="235">
        <f t="shared" si="0"/>
        <v>41</v>
      </c>
      <c r="B12" s="235">
        <f t="shared" si="1"/>
        <v>27</v>
      </c>
      <c r="C12" s="235"/>
      <c r="D12" s="279" t="str">
        <f>INDEX(Table!E:E,MATCH(E12,Table!F:F,0))</f>
        <v>C</v>
      </c>
      <c r="E12" s="221" t="s">
        <v>295</v>
      </c>
      <c r="F12" s="233">
        <f t="shared" si="2"/>
        <v>-27.1875</v>
      </c>
      <c r="G12" s="54">
        <f t="shared" si="3"/>
        <v>5</v>
      </c>
      <c r="H12" s="225">
        <v>-4.8499999999999996</v>
      </c>
      <c r="I12" s="231">
        <v>1</v>
      </c>
      <c r="J12" s="223">
        <f t="shared" si="7"/>
        <v>0</v>
      </c>
      <c r="K12" s="224"/>
      <c r="L12" s="224">
        <f>INDEX(Table!M:M,MATCH(E12,Table!F:F,0))</f>
        <v>0</v>
      </c>
      <c r="M12" s="223">
        <f t="shared" si="8"/>
        <v>0</v>
      </c>
      <c r="N12" s="225">
        <v>-4.8</v>
      </c>
      <c r="O12" s="226">
        <v>1</v>
      </c>
      <c r="P12" s="227"/>
      <c r="Q12" s="228">
        <v>-7</v>
      </c>
      <c r="R12" s="229">
        <v>0</v>
      </c>
      <c r="S12" s="230"/>
      <c r="T12" s="225">
        <v>-7</v>
      </c>
      <c r="U12" s="231">
        <v>0</v>
      </c>
      <c r="V12" s="227"/>
      <c r="W12" s="228">
        <v>0.66249999999999964</v>
      </c>
      <c r="X12" s="229">
        <v>2</v>
      </c>
      <c r="Y12" s="230"/>
      <c r="Z12" s="225">
        <v>-4.2</v>
      </c>
      <c r="AA12" s="231">
        <v>1</v>
      </c>
      <c r="AB12" s="227"/>
      <c r="AC12" s="228">
        <v>-4.8499999999999996</v>
      </c>
      <c r="AD12" s="229">
        <v>1</v>
      </c>
      <c r="AE12" s="230"/>
      <c r="AF12" s="225"/>
      <c r="AG12" s="231"/>
      <c r="AH12" s="227"/>
      <c r="AI12" s="228"/>
      <c r="AJ12" s="229"/>
      <c r="AK12" s="230"/>
      <c r="AL12" s="225"/>
      <c r="AM12" s="231"/>
      <c r="AN12" s="227"/>
      <c r="AO12" s="228"/>
      <c r="AP12" s="229"/>
      <c r="AQ12" s="230"/>
      <c r="AR12" s="225"/>
      <c r="AS12" s="231"/>
      <c r="AT12" s="227"/>
      <c r="AU12" s="228"/>
      <c r="AV12" s="229"/>
      <c r="AW12" s="230"/>
      <c r="AX12" s="225"/>
      <c r="AY12" s="231"/>
      <c r="AZ12" s="227"/>
      <c r="BA12" s="228"/>
      <c r="BB12" s="229"/>
      <c r="BC12" s="230"/>
      <c r="BD12" s="225"/>
      <c r="BE12" s="231"/>
      <c r="BF12" s="227"/>
      <c r="BG12" s="228"/>
      <c r="BH12" s="232"/>
      <c r="BI12" s="230"/>
      <c r="BJ12" s="225"/>
      <c r="BK12" s="231"/>
      <c r="BL12" s="227"/>
      <c r="BM12" s="228"/>
      <c r="BN12" s="232"/>
      <c r="BO12" s="230"/>
      <c r="BP12" s="225"/>
      <c r="BQ12" s="231"/>
      <c r="BR12" s="227"/>
      <c r="BS12" s="228"/>
      <c r="BT12" s="229"/>
      <c r="BU12" s="230"/>
      <c r="BV12" s="228">
        <f t="shared" si="4"/>
        <v>-27.187500000000004</v>
      </c>
      <c r="BW12" s="229">
        <f t="shared" si="5"/>
        <v>5</v>
      </c>
      <c r="BX12" s="230">
        <f t="shared" si="6"/>
        <v>0</v>
      </c>
      <c r="BY12" s="48"/>
      <c r="DX12" s="49"/>
      <c r="DY12" s="49"/>
      <c r="EF12" s="46"/>
      <c r="EG12" s="46"/>
    </row>
    <row r="13" spans="1:137">
      <c r="A13" s="235">
        <f t="shared" si="0"/>
        <v>49</v>
      </c>
      <c r="B13" s="235">
        <f t="shared" si="1"/>
        <v>40</v>
      </c>
      <c r="C13" s="235"/>
      <c r="D13" s="279" t="str">
        <f>INDEX(Table!E:E,MATCH(E13,Table!F:F,0))</f>
        <v>B</v>
      </c>
      <c r="E13" s="221" t="s">
        <v>290</v>
      </c>
      <c r="F13" s="233">
        <f t="shared" si="2"/>
        <v>-36.518181818181816</v>
      </c>
      <c r="G13" s="54">
        <f t="shared" si="3"/>
        <v>3</v>
      </c>
      <c r="H13" s="225">
        <v>-7</v>
      </c>
      <c r="I13" s="231">
        <v>0</v>
      </c>
      <c r="J13" s="223">
        <f t="shared" si="7"/>
        <v>0</v>
      </c>
      <c r="K13" s="224"/>
      <c r="L13" s="224">
        <f>INDEX(Table!M:M,MATCH(E13,Table!F:F,0))</f>
        <v>0</v>
      </c>
      <c r="M13" s="223">
        <f t="shared" si="8"/>
        <v>0</v>
      </c>
      <c r="N13" s="225">
        <v>-5.8181818181818183</v>
      </c>
      <c r="O13" s="226">
        <v>1</v>
      </c>
      <c r="P13" s="227"/>
      <c r="Q13" s="228">
        <v>-4.8</v>
      </c>
      <c r="R13" s="229">
        <v>1</v>
      </c>
      <c r="S13" s="230"/>
      <c r="T13" s="225">
        <v>-7</v>
      </c>
      <c r="U13" s="231">
        <v>0</v>
      </c>
      <c r="V13" s="227"/>
      <c r="W13" s="228">
        <v>-4.9000000000000004</v>
      </c>
      <c r="X13" s="229">
        <v>1</v>
      </c>
      <c r="Y13" s="230"/>
      <c r="Z13" s="225">
        <v>-7</v>
      </c>
      <c r="AA13" s="231">
        <v>0</v>
      </c>
      <c r="AB13" s="227"/>
      <c r="AC13" s="228">
        <v>-7</v>
      </c>
      <c r="AD13" s="229">
        <v>0</v>
      </c>
      <c r="AE13" s="230"/>
      <c r="AF13" s="225"/>
      <c r="AG13" s="231"/>
      <c r="AH13" s="227"/>
      <c r="AI13" s="228"/>
      <c r="AJ13" s="229"/>
      <c r="AK13" s="230"/>
      <c r="AL13" s="225"/>
      <c r="AM13" s="231"/>
      <c r="AN13" s="227"/>
      <c r="AO13" s="228"/>
      <c r="AP13" s="229"/>
      <c r="AQ13" s="230"/>
      <c r="AR13" s="225"/>
      <c r="AS13" s="231"/>
      <c r="AT13" s="227"/>
      <c r="AU13" s="228"/>
      <c r="AV13" s="229"/>
      <c r="AW13" s="230"/>
      <c r="AX13" s="225"/>
      <c r="AY13" s="231"/>
      <c r="AZ13" s="227"/>
      <c r="BA13" s="228"/>
      <c r="BB13" s="229"/>
      <c r="BC13" s="230"/>
      <c r="BD13" s="225"/>
      <c r="BE13" s="231"/>
      <c r="BF13" s="227"/>
      <c r="BG13" s="228"/>
      <c r="BH13" s="232"/>
      <c r="BI13" s="230"/>
      <c r="BJ13" s="225"/>
      <c r="BK13" s="231"/>
      <c r="BL13" s="227"/>
      <c r="BM13" s="228"/>
      <c r="BN13" s="232"/>
      <c r="BO13" s="230"/>
      <c r="BP13" s="225"/>
      <c r="BQ13" s="231"/>
      <c r="BR13" s="227"/>
      <c r="BS13" s="228"/>
      <c r="BT13" s="229"/>
      <c r="BU13" s="230"/>
      <c r="BV13" s="228">
        <f t="shared" si="4"/>
        <v>-36.518181818181816</v>
      </c>
      <c r="BW13" s="229">
        <f t="shared" si="5"/>
        <v>3</v>
      </c>
      <c r="BX13" s="230">
        <f t="shared" si="6"/>
        <v>0</v>
      </c>
      <c r="BY13" s="48"/>
      <c r="DX13" s="49"/>
      <c r="DY13" s="49"/>
      <c r="EF13" s="46"/>
      <c r="EG13" s="46"/>
    </row>
    <row r="14" spans="1:137">
      <c r="A14" s="235">
        <f t="shared" si="0"/>
        <v>34</v>
      </c>
      <c r="B14" s="235">
        <f t="shared" si="1"/>
        <v>40</v>
      </c>
      <c r="C14" s="235"/>
      <c r="D14" s="279" t="str">
        <f>INDEX(Table!E:E,MATCH(E14,Table!F:F,0))</f>
        <v>B</v>
      </c>
      <c r="E14" s="221" t="s">
        <v>296</v>
      </c>
      <c r="F14" s="233">
        <f t="shared" si="2"/>
        <v>-20.5</v>
      </c>
      <c r="G14" s="54">
        <f t="shared" si="3"/>
        <v>3</v>
      </c>
      <c r="H14" s="225">
        <v>-7</v>
      </c>
      <c r="I14" s="231">
        <v>0</v>
      </c>
      <c r="J14" s="223">
        <f t="shared" si="7"/>
        <v>5</v>
      </c>
      <c r="K14" s="224"/>
      <c r="L14" s="224">
        <f>INDEX(Table!M:M,MATCH(E14,Table!F:F,0))</f>
        <v>0</v>
      </c>
      <c r="M14" s="223">
        <f t="shared" si="8"/>
        <v>5</v>
      </c>
      <c r="N14" s="225">
        <v>-7</v>
      </c>
      <c r="O14" s="226">
        <v>0</v>
      </c>
      <c r="P14" s="227"/>
      <c r="Q14" s="228">
        <v>12</v>
      </c>
      <c r="R14" s="229">
        <v>2</v>
      </c>
      <c r="S14" s="230">
        <v>5</v>
      </c>
      <c r="T14" s="225">
        <v>-4.5</v>
      </c>
      <c r="U14" s="231">
        <v>1</v>
      </c>
      <c r="V14" s="227"/>
      <c r="W14" s="228">
        <v>-7</v>
      </c>
      <c r="X14" s="229">
        <v>0</v>
      </c>
      <c r="Y14" s="230"/>
      <c r="Z14" s="225">
        <v>-7</v>
      </c>
      <c r="AA14" s="231">
        <v>0</v>
      </c>
      <c r="AB14" s="227"/>
      <c r="AC14" s="228">
        <v>-7</v>
      </c>
      <c r="AD14" s="229">
        <v>0</v>
      </c>
      <c r="AE14" s="230"/>
      <c r="AF14" s="225"/>
      <c r="AG14" s="231"/>
      <c r="AH14" s="227"/>
      <c r="AI14" s="228"/>
      <c r="AJ14" s="229"/>
      <c r="AK14" s="230"/>
      <c r="AL14" s="225"/>
      <c r="AM14" s="231"/>
      <c r="AN14" s="227"/>
      <c r="AO14" s="228"/>
      <c r="AP14" s="229"/>
      <c r="AQ14" s="230"/>
      <c r="AR14" s="225"/>
      <c r="AS14" s="231"/>
      <c r="AT14" s="227"/>
      <c r="AU14" s="228"/>
      <c r="AV14" s="229"/>
      <c r="AW14" s="230"/>
      <c r="AX14" s="225"/>
      <c r="AY14" s="231"/>
      <c r="AZ14" s="227"/>
      <c r="BA14" s="228"/>
      <c r="BB14" s="229"/>
      <c r="BC14" s="230"/>
      <c r="BD14" s="225"/>
      <c r="BE14" s="231"/>
      <c r="BF14" s="227"/>
      <c r="BG14" s="228"/>
      <c r="BH14" s="232"/>
      <c r="BI14" s="230"/>
      <c r="BJ14" s="225"/>
      <c r="BK14" s="231"/>
      <c r="BL14" s="227"/>
      <c r="BM14" s="228"/>
      <c r="BN14" s="232"/>
      <c r="BO14" s="230"/>
      <c r="BP14" s="225"/>
      <c r="BQ14" s="231"/>
      <c r="BR14" s="227"/>
      <c r="BS14" s="228"/>
      <c r="BT14" s="229"/>
      <c r="BU14" s="230"/>
      <c r="BV14" s="228">
        <f t="shared" si="4"/>
        <v>-20.5</v>
      </c>
      <c r="BW14" s="229">
        <f t="shared" si="5"/>
        <v>3</v>
      </c>
      <c r="BX14" s="230">
        <f t="shared" si="6"/>
        <v>5</v>
      </c>
      <c r="BY14" s="48"/>
      <c r="DX14" s="49"/>
      <c r="DY14" s="49"/>
      <c r="EF14" s="46"/>
      <c r="EG14" s="46"/>
    </row>
    <row r="15" spans="1:137">
      <c r="A15" s="235">
        <f t="shared" si="0"/>
        <v>42</v>
      </c>
      <c r="B15" s="235">
        <f t="shared" si="1"/>
        <v>15</v>
      </c>
      <c r="C15" s="235"/>
      <c r="D15" s="279" t="str">
        <f>INDEX(Table!E:E,MATCH(E15,Table!F:F,0))</f>
        <v>C</v>
      </c>
      <c r="E15" s="221" t="s">
        <v>481</v>
      </c>
      <c r="F15" s="233">
        <f t="shared" si="2"/>
        <v>-27.26653846153846</v>
      </c>
      <c r="G15" s="54">
        <f t="shared" si="3"/>
        <v>6</v>
      </c>
      <c r="H15" s="225">
        <v>-1.4615384615384617</v>
      </c>
      <c r="I15" s="231">
        <v>2</v>
      </c>
      <c r="J15" s="223">
        <f t="shared" si="7"/>
        <v>0</v>
      </c>
      <c r="K15" s="224"/>
      <c r="L15" s="224">
        <f>INDEX(Table!M:M,MATCH(E15,Table!F:F,0))</f>
        <v>0</v>
      </c>
      <c r="M15" s="223">
        <f t="shared" si="8"/>
        <v>0</v>
      </c>
      <c r="N15" s="225">
        <v>-7</v>
      </c>
      <c r="O15" s="226">
        <v>0</v>
      </c>
      <c r="P15" s="227"/>
      <c r="Q15" s="228">
        <v>-7</v>
      </c>
      <c r="R15" s="229">
        <v>0</v>
      </c>
      <c r="S15" s="230"/>
      <c r="T15" s="225">
        <v>-1.6550000000000002</v>
      </c>
      <c r="U15" s="231">
        <v>2</v>
      </c>
      <c r="V15" s="227"/>
      <c r="W15" s="228">
        <v>-4.9000000000000004</v>
      </c>
      <c r="X15" s="229">
        <v>1</v>
      </c>
      <c r="Y15" s="230"/>
      <c r="Z15" s="225">
        <v>-5.25</v>
      </c>
      <c r="AA15" s="231">
        <v>1</v>
      </c>
      <c r="AB15" s="227"/>
      <c r="AC15" s="228">
        <v>-1.4615384615384617</v>
      </c>
      <c r="AD15" s="229">
        <v>2</v>
      </c>
      <c r="AE15" s="230"/>
      <c r="AF15" s="225"/>
      <c r="AG15" s="231"/>
      <c r="AH15" s="227"/>
      <c r="AI15" s="228"/>
      <c r="AJ15" s="229"/>
      <c r="AK15" s="230"/>
      <c r="AL15" s="225"/>
      <c r="AM15" s="231"/>
      <c r="AN15" s="227"/>
      <c r="AO15" s="228"/>
      <c r="AP15" s="229"/>
      <c r="AQ15" s="230"/>
      <c r="AR15" s="225"/>
      <c r="AS15" s="231"/>
      <c r="AT15" s="227"/>
      <c r="AU15" s="228"/>
      <c r="AV15" s="229"/>
      <c r="AW15" s="230"/>
      <c r="AX15" s="225"/>
      <c r="AY15" s="231"/>
      <c r="AZ15" s="227"/>
      <c r="BA15" s="228"/>
      <c r="BB15" s="229"/>
      <c r="BC15" s="230"/>
      <c r="BD15" s="225"/>
      <c r="BE15" s="231"/>
      <c r="BF15" s="227"/>
      <c r="BG15" s="228"/>
      <c r="BH15" s="232"/>
      <c r="BI15" s="230"/>
      <c r="BJ15" s="225"/>
      <c r="BK15" s="231"/>
      <c r="BL15" s="227"/>
      <c r="BM15" s="228"/>
      <c r="BN15" s="232"/>
      <c r="BO15" s="230"/>
      <c r="BP15" s="225"/>
      <c r="BQ15" s="231"/>
      <c r="BR15" s="227"/>
      <c r="BS15" s="228"/>
      <c r="BT15" s="229"/>
      <c r="BU15" s="230"/>
      <c r="BV15" s="228">
        <f t="shared" si="4"/>
        <v>-27.266538461538463</v>
      </c>
      <c r="BW15" s="229">
        <f t="shared" si="5"/>
        <v>6</v>
      </c>
      <c r="BX15" s="230">
        <f t="shared" si="6"/>
        <v>0</v>
      </c>
      <c r="BY15" s="48"/>
      <c r="DX15" s="49"/>
      <c r="DY15" s="49"/>
      <c r="EF15" s="46"/>
      <c r="EG15" s="46"/>
    </row>
    <row r="16" spans="1:137">
      <c r="A16" s="235">
        <f t="shared" si="0"/>
        <v>30</v>
      </c>
      <c r="B16" s="235">
        <f t="shared" si="1"/>
        <v>7</v>
      </c>
      <c r="C16" s="235"/>
      <c r="D16" s="279" t="str">
        <f>INDEX(Table!E:E,MATCH(E16,Table!F:F,0))</f>
        <v>B</v>
      </c>
      <c r="E16" s="221" t="s">
        <v>351</v>
      </c>
      <c r="F16" s="233">
        <f t="shared" si="2"/>
        <v>-17.649999999999999</v>
      </c>
      <c r="G16" s="54">
        <f t="shared" si="3"/>
        <v>4</v>
      </c>
      <c r="H16" s="225">
        <v>6.35</v>
      </c>
      <c r="I16" s="231">
        <v>2</v>
      </c>
      <c r="J16" s="223">
        <f t="shared" si="7"/>
        <v>0</v>
      </c>
      <c r="K16" s="224"/>
      <c r="L16" s="224">
        <f>INDEX(Table!M:M,MATCH(E16,Table!F:F,0))</f>
        <v>0</v>
      </c>
      <c r="M16" s="223">
        <f t="shared" si="8"/>
        <v>0</v>
      </c>
      <c r="N16" s="225">
        <v>0.5</v>
      </c>
      <c r="O16" s="226">
        <v>1</v>
      </c>
      <c r="P16" s="227"/>
      <c r="Q16" s="228">
        <v>-7</v>
      </c>
      <c r="R16" s="229">
        <v>0</v>
      </c>
      <c r="S16" s="230"/>
      <c r="T16" s="225">
        <v>-7</v>
      </c>
      <c r="U16" s="231">
        <v>0</v>
      </c>
      <c r="V16" s="227"/>
      <c r="W16" s="228">
        <v>-7</v>
      </c>
      <c r="X16" s="229">
        <v>0</v>
      </c>
      <c r="Y16" s="230"/>
      <c r="Z16" s="225">
        <v>-3.5</v>
      </c>
      <c r="AA16" s="231">
        <v>1</v>
      </c>
      <c r="AB16" s="227"/>
      <c r="AC16" s="228">
        <v>6.35</v>
      </c>
      <c r="AD16" s="229">
        <v>2</v>
      </c>
      <c r="AE16" s="230"/>
      <c r="AF16" s="225"/>
      <c r="AG16" s="231"/>
      <c r="AH16" s="227"/>
      <c r="AI16" s="228"/>
      <c r="AJ16" s="229"/>
      <c r="AK16" s="230"/>
      <c r="AL16" s="225"/>
      <c r="AM16" s="231"/>
      <c r="AN16" s="227"/>
      <c r="AO16" s="228"/>
      <c r="AP16" s="229"/>
      <c r="AQ16" s="230"/>
      <c r="AR16" s="225"/>
      <c r="AS16" s="231"/>
      <c r="AT16" s="227"/>
      <c r="AU16" s="228"/>
      <c r="AV16" s="229"/>
      <c r="AW16" s="230"/>
      <c r="AX16" s="225"/>
      <c r="AY16" s="231"/>
      <c r="AZ16" s="227"/>
      <c r="BA16" s="228"/>
      <c r="BB16" s="229"/>
      <c r="BC16" s="230"/>
      <c r="BD16" s="225"/>
      <c r="BE16" s="231"/>
      <c r="BF16" s="227"/>
      <c r="BG16" s="228"/>
      <c r="BH16" s="232"/>
      <c r="BI16" s="230"/>
      <c r="BJ16" s="225"/>
      <c r="BK16" s="231"/>
      <c r="BL16" s="227"/>
      <c r="BM16" s="228"/>
      <c r="BN16" s="232"/>
      <c r="BO16" s="230"/>
      <c r="BP16" s="225"/>
      <c r="BQ16" s="231"/>
      <c r="BR16" s="227"/>
      <c r="BS16" s="228"/>
      <c r="BT16" s="229"/>
      <c r="BU16" s="230"/>
      <c r="BV16" s="228">
        <f t="shared" si="4"/>
        <v>-17.649999999999999</v>
      </c>
      <c r="BW16" s="229">
        <f t="shared" si="5"/>
        <v>4</v>
      </c>
      <c r="BX16" s="230">
        <f t="shared" si="6"/>
        <v>0</v>
      </c>
      <c r="BY16" s="48"/>
      <c r="DX16" s="49"/>
      <c r="DY16" s="49"/>
      <c r="EF16" s="46"/>
      <c r="EG16" s="46"/>
    </row>
    <row r="17" spans="1:137">
      <c r="A17" s="235">
        <f t="shared" si="0"/>
        <v>29</v>
      </c>
      <c r="B17" s="235">
        <f t="shared" si="1"/>
        <v>12</v>
      </c>
      <c r="C17" s="235"/>
      <c r="D17" s="279" t="str">
        <f>INDEX(Table!E:E,MATCH(E17,Table!F:F,0))</f>
        <v>C</v>
      </c>
      <c r="E17" s="221" t="s">
        <v>347</v>
      </c>
      <c r="F17" s="233">
        <f t="shared" si="2"/>
        <v>-17.364545454545457</v>
      </c>
      <c r="G17" s="54">
        <f t="shared" si="3"/>
        <v>6</v>
      </c>
      <c r="H17" s="225">
        <v>-0.55454545454545467</v>
      </c>
      <c r="I17" s="231">
        <v>2</v>
      </c>
      <c r="J17" s="223">
        <f t="shared" si="7"/>
        <v>5</v>
      </c>
      <c r="K17" s="224"/>
      <c r="L17" s="224">
        <f>INDEX(Table!M:M,MATCH(E17,Table!F:F,0))</f>
        <v>0</v>
      </c>
      <c r="M17" s="223">
        <f t="shared" si="8"/>
        <v>5</v>
      </c>
      <c r="N17" s="225">
        <v>5.9399999999999995</v>
      </c>
      <c r="O17" s="226">
        <v>2</v>
      </c>
      <c r="P17" s="227">
        <v>5</v>
      </c>
      <c r="Q17" s="228">
        <v>-7</v>
      </c>
      <c r="R17" s="229">
        <v>0</v>
      </c>
      <c r="S17" s="230"/>
      <c r="T17" s="225">
        <v>-3.5</v>
      </c>
      <c r="U17" s="231">
        <v>1</v>
      </c>
      <c r="V17" s="227"/>
      <c r="W17" s="228">
        <v>-7</v>
      </c>
      <c r="X17" s="229">
        <v>0</v>
      </c>
      <c r="Y17" s="230"/>
      <c r="Z17" s="225">
        <v>-5.25</v>
      </c>
      <c r="AA17" s="231">
        <v>1</v>
      </c>
      <c r="AB17" s="227"/>
      <c r="AC17" s="228">
        <v>-0.55454545454545467</v>
      </c>
      <c r="AD17" s="229">
        <v>2</v>
      </c>
      <c r="AE17" s="230"/>
      <c r="AF17" s="225"/>
      <c r="AG17" s="231"/>
      <c r="AH17" s="227"/>
      <c r="AI17" s="228"/>
      <c r="AJ17" s="229"/>
      <c r="AK17" s="230"/>
      <c r="AL17" s="225"/>
      <c r="AM17" s="231"/>
      <c r="AN17" s="227"/>
      <c r="AO17" s="228"/>
      <c r="AP17" s="229"/>
      <c r="AQ17" s="230"/>
      <c r="AR17" s="225"/>
      <c r="AS17" s="231"/>
      <c r="AT17" s="227"/>
      <c r="AU17" s="228"/>
      <c r="AV17" s="229"/>
      <c r="AW17" s="230"/>
      <c r="AX17" s="225"/>
      <c r="AY17" s="231"/>
      <c r="AZ17" s="227"/>
      <c r="BA17" s="228"/>
      <c r="BB17" s="229"/>
      <c r="BC17" s="230"/>
      <c r="BD17" s="225"/>
      <c r="BE17" s="231"/>
      <c r="BF17" s="227"/>
      <c r="BG17" s="228"/>
      <c r="BH17" s="232"/>
      <c r="BI17" s="230"/>
      <c r="BJ17" s="225"/>
      <c r="BK17" s="231"/>
      <c r="BL17" s="227"/>
      <c r="BM17" s="228"/>
      <c r="BN17" s="232"/>
      <c r="BO17" s="230"/>
      <c r="BP17" s="225"/>
      <c r="BQ17" s="231"/>
      <c r="BR17" s="227"/>
      <c r="BS17" s="228"/>
      <c r="BT17" s="229"/>
      <c r="BU17" s="230"/>
      <c r="BV17" s="228">
        <f t="shared" si="4"/>
        <v>-17.364545454545457</v>
      </c>
      <c r="BW17" s="229">
        <f t="shared" si="5"/>
        <v>6</v>
      </c>
      <c r="BX17" s="230">
        <f t="shared" si="6"/>
        <v>5</v>
      </c>
      <c r="BY17" s="48"/>
      <c r="DX17" s="49"/>
      <c r="DY17" s="49"/>
      <c r="EF17" s="46"/>
      <c r="EG17" s="46"/>
    </row>
    <row r="18" spans="1:137">
      <c r="A18" s="235">
        <f t="shared" si="0"/>
        <v>10</v>
      </c>
      <c r="B18" s="235">
        <f t="shared" si="1"/>
        <v>28</v>
      </c>
      <c r="C18" s="235"/>
      <c r="D18" s="279" t="str">
        <f>INDEX(Table!E:E,MATCH(E18,Table!F:F,0))</f>
        <v>C</v>
      </c>
      <c r="E18" s="221" t="s">
        <v>517</v>
      </c>
      <c r="F18" s="233">
        <f t="shared" si="2"/>
        <v>-8.6601282051282062</v>
      </c>
      <c r="G18" s="54">
        <f t="shared" si="3"/>
        <v>7</v>
      </c>
      <c r="H18" s="225">
        <v>-5.15</v>
      </c>
      <c r="I18" s="231">
        <v>1</v>
      </c>
      <c r="J18" s="223">
        <f t="shared" si="7"/>
        <v>0</v>
      </c>
      <c r="K18" s="224"/>
      <c r="L18" s="224">
        <f>INDEX(Table!M:M,MATCH(E18,Table!F:F,0))</f>
        <v>8.1</v>
      </c>
      <c r="M18" s="223">
        <f t="shared" si="8"/>
        <v>8.1</v>
      </c>
      <c r="N18" s="225">
        <v>2.4833333333333343</v>
      </c>
      <c r="O18" s="226">
        <v>2</v>
      </c>
      <c r="P18" s="227"/>
      <c r="Q18" s="228">
        <v>2.4615384615384617</v>
      </c>
      <c r="R18" s="229">
        <v>2</v>
      </c>
      <c r="S18" s="230"/>
      <c r="T18" s="225">
        <v>-7</v>
      </c>
      <c r="U18" s="231">
        <v>0</v>
      </c>
      <c r="V18" s="227"/>
      <c r="W18" s="228">
        <v>5.5449999999999982</v>
      </c>
      <c r="X18" s="229">
        <v>2</v>
      </c>
      <c r="Y18" s="230"/>
      <c r="Z18" s="225">
        <v>-7</v>
      </c>
      <c r="AA18" s="231">
        <v>0</v>
      </c>
      <c r="AB18" s="227"/>
      <c r="AC18" s="228">
        <v>-5.15</v>
      </c>
      <c r="AD18" s="229">
        <v>1</v>
      </c>
      <c r="AE18" s="230"/>
      <c r="AF18" s="225"/>
      <c r="AG18" s="231"/>
      <c r="AH18" s="227"/>
      <c r="AI18" s="228"/>
      <c r="AJ18" s="229"/>
      <c r="AK18" s="230"/>
      <c r="AL18" s="225"/>
      <c r="AM18" s="231"/>
      <c r="AN18" s="227"/>
      <c r="AO18" s="228"/>
      <c r="AP18" s="229"/>
      <c r="AQ18" s="230"/>
      <c r="AR18" s="225"/>
      <c r="AS18" s="231"/>
      <c r="AT18" s="227"/>
      <c r="AU18" s="228"/>
      <c r="AV18" s="229"/>
      <c r="AW18" s="230"/>
      <c r="AX18" s="225"/>
      <c r="AY18" s="231"/>
      <c r="AZ18" s="227"/>
      <c r="BA18" s="228"/>
      <c r="BB18" s="229"/>
      <c r="BC18" s="230"/>
      <c r="BD18" s="225"/>
      <c r="BE18" s="231"/>
      <c r="BF18" s="227"/>
      <c r="BG18" s="228"/>
      <c r="BH18" s="232"/>
      <c r="BI18" s="230"/>
      <c r="BJ18" s="225"/>
      <c r="BK18" s="231"/>
      <c r="BL18" s="227"/>
      <c r="BM18" s="228"/>
      <c r="BN18" s="232"/>
      <c r="BO18" s="230"/>
      <c r="BP18" s="225"/>
      <c r="BQ18" s="231"/>
      <c r="BR18" s="227"/>
      <c r="BS18" s="228"/>
      <c r="BT18" s="229"/>
      <c r="BU18" s="230"/>
      <c r="BV18" s="228">
        <f t="shared" si="4"/>
        <v>-8.6601282051282062</v>
      </c>
      <c r="BW18" s="229">
        <f t="shared" si="5"/>
        <v>7</v>
      </c>
      <c r="BX18" s="230">
        <f t="shared" si="6"/>
        <v>0</v>
      </c>
      <c r="BY18" s="48"/>
      <c r="DX18" s="49"/>
      <c r="DY18" s="49"/>
      <c r="EF18" s="46"/>
      <c r="EG18" s="46"/>
    </row>
    <row r="19" spans="1:137">
      <c r="A19" s="235">
        <f t="shared" si="0"/>
        <v>5</v>
      </c>
      <c r="B19" s="235">
        <f t="shared" si="1"/>
        <v>11</v>
      </c>
      <c r="C19" s="235"/>
      <c r="D19" s="279" t="str">
        <f>INDEX(Table!E:E,MATCH(E19,Table!F:F,0))</f>
        <v>B</v>
      </c>
      <c r="E19" s="221" t="s">
        <v>482</v>
      </c>
      <c r="F19" s="233">
        <f t="shared" si="2"/>
        <v>6.2209090909090916</v>
      </c>
      <c r="G19" s="54">
        <f t="shared" si="3"/>
        <v>10</v>
      </c>
      <c r="H19" s="225">
        <v>0.59090909090909083</v>
      </c>
      <c r="I19" s="231">
        <v>2</v>
      </c>
      <c r="J19" s="223">
        <f t="shared" si="7"/>
        <v>5</v>
      </c>
      <c r="K19" s="224"/>
      <c r="L19" s="224">
        <f>INDEX(Table!M:M,MATCH(E19,Table!F:F,0))</f>
        <v>28.35</v>
      </c>
      <c r="M19" s="223">
        <f t="shared" si="8"/>
        <v>33.35</v>
      </c>
      <c r="N19" s="225">
        <v>2.2375000000000007</v>
      </c>
      <c r="O19" s="226">
        <v>2</v>
      </c>
      <c r="P19" s="227"/>
      <c r="Q19" s="228">
        <v>14.087500000000002</v>
      </c>
      <c r="R19" s="229">
        <v>3</v>
      </c>
      <c r="S19" s="230">
        <v>5</v>
      </c>
      <c r="T19" s="225">
        <v>1.4550000000000001</v>
      </c>
      <c r="U19" s="231">
        <v>2</v>
      </c>
      <c r="V19" s="227"/>
      <c r="W19" s="228">
        <v>-5.15</v>
      </c>
      <c r="X19" s="229">
        <v>1</v>
      </c>
      <c r="Y19" s="230"/>
      <c r="Z19" s="225">
        <v>-7</v>
      </c>
      <c r="AA19" s="231">
        <v>0</v>
      </c>
      <c r="AB19" s="227"/>
      <c r="AC19" s="228">
        <v>0.59090909090909083</v>
      </c>
      <c r="AD19" s="229">
        <v>2</v>
      </c>
      <c r="AE19" s="230"/>
      <c r="AF19" s="225"/>
      <c r="AG19" s="231"/>
      <c r="AH19" s="227"/>
      <c r="AI19" s="228"/>
      <c r="AJ19" s="229"/>
      <c r="AK19" s="230"/>
      <c r="AL19" s="225"/>
      <c r="AM19" s="231"/>
      <c r="AN19" s="227"/>
      <c r="AO19" s="228"/>
      <c r="AP19" s="229"/>
      <c r="AQ19" s="230"/>
      <c r="AR19" s="225"/>
      <c r="AS19" s="231"/>
      <c r="AT19" s="227"/>
      <c r="AU19" s="228"/>
      <c r="AV19" s="229"/>
      <c r="AW19" s="230"/>
      <c r="AX19" s="225"/>
      <c r="AY19" s="231"/>
      <c r="AZ19" s="227"/>
      <c r="BA19" s="228"/>
      <c r="BB19" s="229"/>
      <c r="BC19" s="230"/>
      <c r="BD19" s="225"/>
      <c r="BE19" s="231"/>
      <c r="BF19" s="227"/>
      <c r="BG19" s="228"/>
      <c r="BH19" s="232"/>
      <c r="BI19" s="230"/>
      <c r="BJ19" s="225"/>
      <c r="BK19" s="231"/>
      <c r="BL19" s="227"/>
      <c r="BM19" s="228"/>
      <c r="BN19" s="232"/>
      <c r="BO19" s="230"/>
      <c r="BP19" s="225"/>
      <c r="BQ19" s="231"/>
      <c r="BR19" s="227"/>
      <c r="BS19" s="228"/>
      <c r="BT19" s="229"/>
      <c r="BU19" s="230"/>
      <c r="BV19" s="228">
        <f t="shared" si="4"/>
        <v>6.2209090909090943</v>
      </c>
      <c r="BW19" s="229">
        <f t="shared" si="5"/>
        <v>10</v>
      </c>
      <c r="BX19" s="230">
        <f t="shared" si="6"/>
        <v>5</v>
      </c>
      <c r="BY19" s="48"/>
      <c r="DX19" s="49"/>
      <c r="DY19" s="49"/>
      <c r="EF19" s="46"/>
      <c r="EG19" s="46"/>
    </row>
    <row r="20" spans="1:137">
      <c r="A20" s="235">
        <f t="shared" si="0"/>
        <v>46</v>
      </c>
      <c r="B20" s="235">
        <f t="shared" si="1"/>
        <v>40</v>
      </c>
      <c r="C20" s="235"/>
      <c r="D20" s="279" t="str">
        <f>INDEX(Table!E:E,MATCH(E20,Table!F:F,0))</f>
        <v>A</v>
      </c>
      <c r="E20" s="221" t="s">
        <v>281</v>
      </c>
      <c r="F20" s="233">
        <f t="shared" si="2"/>
        <v>-32.25</v>
      </c>
      <c r="G20" s="54">
        <f t="shared" si="3"/>
        <v>4</v>
      </c>
      <c r="H20" s="225">
        <v>-7</v>
      </c>
      <c r="I20" s="231">
        <v>0</v>
      </c>
      <c r="J20" s="223">
        <f t="shared" si="7"/>
        <v>0</v>
      </c>
      <c r="K20" s="224"/>
      <c r="L20" s="224">
        <f>INDEX(Table!M:M,MATCH(E20,Table!F:F,0))</f>
        <v>0</v>
      </c>
      <c r="M20" s="223">
        <f t="shared" si="8"/>
        <v>0</v>
      </c>
      <c r="N20" s="225">
        <v>-7</v>
      </c>
      <c r="O20" s="226">
        <v>0</v>
      </c>
      <c r="P20" s="227"/>
      <c r="Q20" s="228">
        <v>-4.8</v>
      </c>
      <c r="R20" s="229">
        <v>1</v>
      </c>
      <c r="S20" s="230"/>
      <c r="T20" s="225">
        <v>-4.9000000000000004</v>
      </c>
      <c r="U20" s="231">
        <v>1</v>
      </c>
      <c r="V20" s="227"/>
      <c r="W20" s="228">
        <v>-3.6</v>
      </c>
      <c r="X20" s="229">
        <v>1</v>
      </c>
      <c r="Y20" s="230"/>
      <c r="Z20" s="225">
        <v>-4.95</v>
      </c>
      <c r="AA20" s="231">
        <v>1</v>
      </c>
      <c r="AB20" s="227"/>
      <c r="AC20" s="228">
        <v>-7</v>
      </c>
      <c r="AD20" s="229">
        <v>0</v>
      </c>
      <c r="AE20" s="230"/>
      <c r="AF20" s="225"/>
      <c r="AG20" s="231"/>
      <c r="AH20" s="227"/>
      <c r="AI20" s="228"/>
      <c r="AJ20" s="229"/>
      <c r="AK20" s="230"/>
      <c r="AL20" s="225"/>
      <c r="AM20" s="231"/>
      <c r="AN20" s="227"/>
      <c r="AO20" s="228"/>
      <c r="AP20" s="229"/>
      <c r="AQ20" s="230"/>
      <c r="AR20" s="225"/>
      <c r="AS20" s="231"/>
      <c r="AT20" s="227"/>
      <c r="AU20" s="228"/>
      <c r="AV20" s="229"/>
      <c r="AW20" s="230"/>
      <c r="AX20" s="225"/>
      <c r="AY20" s="231"/>
      <c r="AZ20" s="227"/>
      <c r="BA20" s="228"/>
      <c r="BB20" s="229"/>
      <c r="BC20" s="230"/>
      <c r="BD20" s="225"/>
      <c r="BE20" s="231"/>
      <c r="BF20" s="227"/>
      <c r="BG20" s="228"/>
      <c r="BH20" s="232"/>
      <c r="BI20" s="230"/>
      <c r="BJ20" s="225"/>
      <c r="BK20" s="231"/>
      <c r="BL20" s="227"/>
      <c r="BM20" s="228"/>
      <c r="BN20" s="232"/>
      <c r="BO20" s="230"/>
      <c r="BP20" s="225"/>
      <c r="BQ20" s="231"/>
      <c r="BR20" s="227"/>
      <c r="BS20" s="228"/>
      <c r="BT20" s="229"/>
      <c r="BU20" s="230"/>
      <c r="BV20" s="228">
        <f t="shared" si="4"/>
        <v>-32.25</v>
      </c>
      <c r="BW20" s="229">
        <f t="shared" si="5"/>
        <v>4</v>
      </c>
      <c r="BX20" s="230">
        <f t="shared" si="6"/>
        <v>0</v>
      </c>
      <c r="BY20" s="48"/>
      <c r="DX20" s="49"/>
      <c r="DY20" s="49"/>
      <c r="EF20" s="46"/>
      <c r="EG20" s="46"/>
    </row>
    <row r="21" spans="1:137">
      <c r="A21" s="235">
        <f t="shared" si="0"/>
        <v>8</v>
      </c>
      <c r="B21" s="235">
        <f t="shared" si="1"/>
        <v>4</v>
      </c>
      <c r="C21" s="235"/>
      <c r="D21" s="279" t="str">
        <f>INDEX(Table!E:E,MATCH(E21,Table!F:F,0))</f>
        <v>B</v>
      </c>
      <c r="E21" s="221" t="s">
        <v>348</v>
      </c>
      <c r="F21" s="233">
        <f t="shared" si="2"/>
        <v>0.77499999999999858</v>
      </c>
      <c r="G21" s="54">
        <f t="shared" si="3"/>
        <v>6</v>
      </c>
      <c r="H21" s="225">
        <v>9.6000000000000014</v>
      </c>
      <c r="I21" s="231">
        <v>2</v>
      </c>
      <c r="J21" s="223">
        <f t="shared" si="7"/>
        <v>12.5</v>
      </c>
      <c r="K21" s="224"/>
      <c r="L21" s="224">
        <f>INDEX(Table!M:M,MATCH(E21,Table!F:F,0))</f>
        <v>18.899999999999999</v>
      </c>
      <c r="M21" s="223">
        <f t="shared" si="8"/>
        <v>31.4</v>
      </c>
      <c r="N21" s="225">
        <v>-7</v>
      </c>
      <c r="O21" s="226">
        <v>0</v>
      </c>
      <c r="P21" s="227"/>
      <c r="Q21" s="228">
        <v>-4.8</v>
      </c>
      <c r="R21" s="229">
        <v>1</v>
      </c>
      <c r="S21" s="230"/>
      <c r="T21" s="225">
        <v>-3.4</v>
      </c>
      <c r="U21" s="231">
        <v>1</v>
      </c>
      <c r="V21" s="227"/>
      <c r="W21" s="228">
        <v>-7</v>
      </c>
      <c r="X21" s="229">
        <v>0</v>
      </c>
      <c r="Y21" s="230"/>
      <c r="Z21" s="225">
        <v>13.375</v>
      </c>
      <c r="AA21" s="231">
        <v>2</v>
      </c>
      <c r="AB21" s="227">
        <v>10</v>
      </c>
      <c r="AC21" s="228">
        <v>9.6000000000000014</v>
      </c>
      <c r="AD21" s="229">
        <v>2</v>
      </c>
      <c r="AE21" s="230">
        <v>2.5</v>
      </c>
      <c r="AF21" s="225"/>
      <c r="AG21" s="231"/>
      <c r="AH21" s="227"/>
      <c r="AI21" s="228"/>
      <c r="AJ21" s="229"/>
      <c r="AK21" s="230"/>
      <c r="AL21" s="225"/>
      <c r="AM21" s="231"/>
      <c r="AN21" s="227"/>
      <c r="AO21" s="228"/>
      <c r="AP21" s="229"/>
      <c r="AQ21" s="230"/>
      <c r="AR21" s="225"/>
      <c r="AS21" s="231"/>
      <c r="AT21" s="227"/>
      <c r="AU21" s="228"/>
      <c r="AV21" s="229"/>
      <c r="AW21" s="230"/>
      <c r="AX21" s="225"/>
      <c r="AY21" s="231"/>
      <c r="AZ21" s="227"/>
      <c r="BA21" s="228"/>
      <c r="BB21" s="229"/>
      <c r="BC21" s="230"/>
      <c r="BD21" s="225"/>
      <c r="BE21" s="231"/>
      <c r="BF21" s="227"/>
      <c r="BG21" s="228"/>
      <c r="BH21" s="232"/>
      <c r="BI21" s="230"/>
      <c r="BJ21" s="225"/>
      <c r="BK21" s="231"/>
      <c r="BL21" s="227"/>
      <c r="BM21" s="228"/>
      <c r="BN21" s="232"/>
      <c r="BO21" s="230"/>
      <c r="BP21" s="225"/>
      <c r="BQ21" s="231"/>
      <c r="BR21" s="227"/>
      <c r="BS21" s="228"/>
      <c r="BT21" s="229"/>
      <c r="BU21" s="230"/>
      <c r="BV21" s="228">
        <f t="shared" si="4"/>
        <v>0.77500000000000124</v>
      </c>
      <c r="BW21" s="229">
        <f t="shared" si="5"/>
        <v>6</v>
      </c>
      <c r="BX21" s="230">
        <f t="shared" si="6"/>
        <v>12.5</v>
      </c>
      <c r="BY21" s="48"/>
      <c r="DX21" s="49"/>
      <c r="DY21" s="49"/>
      <c r="EF21" s="46"/>
      <c r="EG21" s="46"/>
    </row>
    <row r="22" spans="1:137">
      <c r="A22" s="235">
        <f t="shared" si="0"/>
        <v>48</v>
      </c>
      <c r="B22" s="235">
        <f t="shared" si="1"/>
        <v>33</v>
      </c>
      <c r="C22" s="235"/>
      <c r="D22" s="279" t="str">
        <f>INDEX(Table!E:E,MATCH(E22,Table!F:F,0))</f>
        <v>B</v>
      </c>
      <c r="E22" s="221" t="s">
        <v>271</v>
      </c>
      <c r="F22" s="233">
        <f t="shared" si="2"/>
        <v>-36.049999999999997</v>
      </c>
      <c r="G22" s="54">
        <f t="shared" si="3"/>
        <v>3</v>
      </c>
      <c r="H22" s="225">
        <v>-5.5</v>
      </c>
      <c r="I22" s="231">
        <v>1</v>
      </c>
      <c r="J22" s="223">
        <f t="shared" si="7"/>
        <v>0</v>
      </c>
      <c r="K22" s="224"/>
      <c r="L22" s="224">
        <f>INDEX(Table!M:M,MATCH(E22,Table!F:F,0))</f>
        <v>0</v>
      </c>
      <c r="M22" s="223">
        <f t="shared" si="8"/>
        <v>0</v>
      </c>
      <c r="N22" s="225">
        <v>-7</v>
      </c>
      <c r="O22" s="226">
        <v>0</v>
      </c>
      <c r="P22" s="227"/>
      <c r="Q22" s="228">
        <v>-4.5999999999999996</v>
      </c>
      <c r="R22" s="229">
        <v>1</v>
      </c>
      <c r="S22" s="230"/>
      <c r="T22" s="225">
        <v>-7</v>
      </c>
      <c r="U22" s="231">
        <v>0</v>
      </c>
      <c r="V22" s="227"/>
      <c r="W22" s="228">
        <v>-7</v>
      </c>
      <c r="X22" s="229">
        <v>0</v>
      </c>
      <c r="Y22" s="230"/>
      <c r="Z22" s="225">
        <v>-4.95</v>
      </c>
      <c r="AA22" s="231">
        <v>1</v>
      </c>
      <c r="AB22" s="227"/>
      <c r="AC22" s="228">
        <v>-5.5</v>
      </c>
      <c r="AD22" s="229">
        <v>1</v>
      </c>
      <c r="AE22" s="230"/>
      <c r="AF22" s="225"/>
      <c r="AG22" s="231"/>
      <c r="AH22" s="227"/>
      <c r="AI22" s="228"/>
      <c r="AJ22" s="229"/>
      <c r="AK22" s="230"/>
      <c r="AL22" s="225"/>
      <c r="AM22" s="231"/>
      <c r="AN22" s="227"/>
      <c r="AO22" s="228"/>
      <c r="AP22" s="229"/>
      <c r="AQ22" s="230"/>
      <c r="AR22" s="225"/>
      <c r="AS22" s="231"/>
      <c r="AT22" s="227"/>
      <c r="AU22" s="228"/>
      <c r="AV22" s="229"/>
      <c r="AW22" s="230"/>
      <c r="AX22" s="225"/>
      <c r="AY22" s="231"/>
      <c r="AZ22" s="227"/>
      <c r="BA22" s="228"/>
      <c r="BB22" s="229"/>
      <c r="BC22" s="230"/>
      <c r="BD22" s="225"/>
      <c r="BE22" s="231"/>
      <c r="BF22" s="227"/>
      <c r="BG22" s="228"/>
      <c r="BH22" s="232"/>
      <c r="BI22" s="230"/>
      <c r="BJ22" s="225"/>
      <c r="BK22" s="231"/>
      <c r="BL22" s="227"/>
      <c r="BM22" s="228"/>
      <c r="BN22" s="232"/>
      <c r="BO22" s="230"/>
      <c r="BP22" s="225"/>
      <c r="BQ22" s="231"/>
      <c r="BR22" s="227"/>
      <c r="BS22" s="228"/>
      <c r="BT22" s="229"/>
      <c r="BU22" s="230"/>
      <c r="BV22" s="228">
        <f t="shared" si="4"/>
        <v>-36.049999999999997</v>
      </c>
      <c r="BW22" s="229">
        <f t="shared" si="5"/>
        <v>3</v>
      </c>
      <c r="BX22" s="230">
        <f t="shared" si="6"/>
        <v>0</v>
      </c>
      <c r="BY22" s="48"/>
      <c r="DX22" s="49"/>
      <c r="DY22" s="49"/>
      <c r="EF22" s="46"/>
      <c r="EG22" s="46"/>
    </row>
    <row r="23" spans="1:137">
      <c r="A23" s="235">
        <f t="shared" si="0"/>
        <v>7</v>
      </c>
      <c r="B23" s="235">
        <f t="shared" si="1"/>
        <v>18</v>
      </c>
      <c r="C23" s="235"/>
      <c r="D23" s="279" t="str">
        <f>INDEX(Table!E:E,MATCH(E23,Table!F:F,0))</f>
        <v>A</v>
      </c>
      <c r="E23" s="221" t="s">
        <v>285</v>
      </c>
      <c r="F23" s="233">
        <f t="shared" si="2"/>
        <v>1.8999999999999986</v>
      </c>
      <c r="G23" s="54">
        <f t="shared" si="3"/>
        <v>10</v>
      </c>
      <c r="H23" s="225">
        <v>-2.375</v>
      </c>
      <c r="I23" s="231">
        <v>2</v>
      </c>
      <c r="J23" s="223">
        <f t="shared" si="7"/>
        <v>5</v>
      </c>
      <c r="K23" s="224"/>
      <c r="L23" s="224">
        <f>INDEX(Table!M:M,MATCH(E23,Table!F:F,0))</f>
        <v>56.25</v>
      </c>
      <c r="M23" s="223">
        <f t="shared" si="8"/>
        <v>61.25</v>
      </c>
      <c r="N23" s="225">
        <v>7.9999999999999982</v>
      </c>
      <c r="O23" s="226">
        <v>2</v>
      </c>
      <c r="P23" s="227">
        <v>5</v>
      </c>
      <c r="Q23" s="228">
        <v>2</v>
      </c>
      <c r="R23" s="229">
        <v>2</v>
      </c>
      <c r="S23" s="230"/>
      <c r="T23" s="225">
        <v>-7</v>
      </c>
      <c r="U23" s="231">
        <v>0</v>
      </c>
      <c r="V23" s="227"/>
      <c r="W23" s="228">
        <v>2.4000000000000004</v>
      </c>
      <c r="X23" s="229">
        <v>2</v>
      </c>
      <c r="Y23" s="230"/>
      <c r="Z23" s="225">
        <v>-1.125</v>
      </c>
      <c r="AA23" s="231">
        <v>2</v>
      </c>
      <c r="AB23" s="227"/>
      <c r="AC23" s="228">
        <v>-2.375</v>
      </c>
      <c r="AD23" s="229">
        <v>2</v>
      </c>
      <c r="AE23" s="230"/>
      <c r="AF23" s="225"/>
      <c r="AG23" s="231"/>
      <c r="AH23" s="227"/>
      <c r="AI23" s="228"/>
      <c r="AJ23" s="229"/>
      <c r="AK23" s="230"/>
      <c r="AL23" s="225"/>
      <c r="AM23" s="231"/>
      <c r="AN23" s="227"/>
      <c r="AO23" s="228"/>
      <c r="AP23" s="229"/>
      <c r="AQ23" s="230"/>
      <c r="AR23" s="225"/>
      <c r="AS23" s="231"/>
      <c r="AT23" s="227"/>
      <c r="AU23" s="228"/>
      <c r="AV23" s="229"/>
      <c r="AW23" s="230"/>
      <c r="AX23" s="225"/>
      <c r="AY23" s="231"/>
      <c r="AZ23" s="227"/>
      <c r="BA23" s="228"/>
      <c r="BB23" s="229"/>
      <c r="BC23" s="230"/>
      <c r="BD23" s="225"/>
      <c r="BE23" s="231"/>
      <c r="BF23" s="227"/>
      <c r="BG23" s="228"/>
      <c r="BH23" s="232"/>
      <c r="BI23" s="230"/>
      <c r="BJ23" s="225"/>
      <c r="BK23" s="231"/>
      <c r="BL23" s="227"/>
      <c r="BM23" s="228"/>
      <c r="BN23" s="232"/>
      <c r="BO23" s="230"/>
      <c r="BP23" s="225"/>
      <c r="BQ23" s="231"/>
      <c r="BR23" s="227"/>
      <c r="BS23" s="228"/>
      <c r="BT23" s="229"/>
      <c r="BU23" s="230"/>
      <c r="BV23" s="228">
        <f t="shared" si="4"/>
        <v>1.8999999999999986</v>
      </c>
      <c r="BW23" s="229">
        <f t="shared" si="5"/>
        <v>10</v>
      </c>
      <c r="BX23" s="230">
        <f t="shared" si="6"/>
        <v>5</v>
      </c>
      <c r="BY23" s="48"/>
      <c r="DX23" s="49"/>
      <c r="DY23" s="49"/>
      <c r="EF23" s="46"/>
      <c r="EG23" s="46"/>
    </row>
    <row r="24" spans="1:137">
      <c r="A24" s="235">
        <f t="shared" si="0"/>
        <v>23</v>
      </c>
      <c r="B24" s="235">
        <f t="shared" si="1"/>
        <v>23</v>
      </c>
      <c r="C24" s="235"/>
      <c r="D24" s="279" t="str">
        <f>INDEX(Table!E:E,MATCH(E24,Table!F:F,0))</f>
        <v>B</v>
      </c>
      <c r="E24" s="221" t="s">
        <v>294</v>
      </c>
      <c r="F24" s="233">
        <f t="shared" si="2"/>
        <v>-15.649090909090908</v>
      </c>
      <c r="G24" s="54">
        <f t="shared" si="3"/>
        <v>8</v>
      </c>
      <c r="H24" s="225">
        <v>-4.8</v>
      </c>
      <c r="I24" s="231">
        <v>1</v>
      </c>
      <c r="J24" s="223">
        <f t="shared" si="7"/>
        <v>0</v>
      </c>
      <c r="K24" s="224"/>
      <c r="L24" s="224">
        <f>INDEX(Table!M:M,MATCH(E24,Table!F:F,0))</f>
        <v>0</v>
      </c>
      <c r="M24" s="223">
        <f t="shared" si="8"/>
        <v>0</v>
      </c>
      <c r="N24" s="225">
        <v>2.7100000000000009</v>
      </c>
      <c r="O24" s="226">
        <v>2</v>
      </c>
      <c r="P24" s="227"/>
      <c r="Q24" s="228">
        <v>1.8909090909090907</v>
      </c>
      <c r="R24" s="229">
        <v>2</v>
      </c>
      <c r="S24" s="230"/>
      <c r="T24" s="225">
        <v>-4.8499999999999996</v>
      </c>
      <c r="U24" s="231">
        <v>1</v>
      </c>
      <c r="V24" s="227"/>
      <c r="W24" s="228">
        <v>-5.35</v>
      </c>
      <c r="X24" s="229">
        <v>1</v>
      </c>
      <c r="Y24" s="230"/>
      <c r="Z24" s="225">
        <v>-5.25</v>
      </c>
      <c r="AA24" s="231">
        <v>1</v>
      </c>
      <c r="AB24" s="227"/>
      <c r="AC24" s="228">
        <v>-4.8</v>
      </c>
      <c r="AD24" s="229">
        <v>1</v>
      </c>
      <c r="AE24" s="230"/>
      <c r="AF24" s="225"/>
      <c r="AG24" s="231"/>
      <c r="AH24" s="227"/>
      <c r="AI24" s="228"/>
      <c r="AJ24" s="229"/>
      <c r="AK24" s="230"/>
      <c r="AL24" s="225"/>
      <c r="AM24" s="231"/>
      <c r="AN24" s="227"/>
      <c r="AO24" s="228"/>
      <c r="AP24" s="229"/>
      <c r="AQ24" s="230"/>
      <c r="AR24" s="225"/>
      <c r="AS24" s="231"/>
      <c r="AT24" s="227"/>
      <c r="AU24" s="228"/>
      <c r="AV24" s="229"/>
      <c r="AW24" s="230"/>
      <c r="AX24" s="225"/>
      <c r="AY24" s="231"/>
      <c r="AZ24" s="227"/>
      <c r="BA24" s="228"/>
      <c r="BB24" s="229"/>
      <c r="BC24" s="230"/>
      <c r="BD24" s="225"/>
      <c r="BE24" s="231"/>
      <c r="BF24" s="227"/>
      <c r="BG24" s="228"/>
      <c r="BH24" s="232"/>
      <c r="BI24" s="230"/>
      <c r="BJ24" s="225"/>
      <c r="BK24" s="231"/>
      <c r="BL24" s="227"/>
      <c r="BM24" s="228"/>
      <c r="BN24" s="232"/>
      <c r="BO24" s="230"/>
      <c r="BP24" s="225"/>
      <c r="BQ24" s="231"/>
      <c r="BR24" s="227"/>
      <c r="BS24" s="228"/>
      <c r="BT24" s="229"/>
      <c r="BU24" s="230"/>
      <c r="BV24" s="228">
        <f t="shared" si="4"/>
        <v>-15.649090909090908</v>
      </c>
      <c r="BW24" s="229">
        <f t="shared" si="5"/>
        <v>8</v>
      </c>
      <c r="BX24" s="230">
        <f t="shared" si="6"/>
        <v>0</v>
      </c>
      <c r="BY24" s="48"/>
      <c r="DX24" s="49"/>
      <c r="DY24" s="49"/>
      <c r="EF24" s="46"/>
      <c r="EG24" s="46"/>
    </row>
    <row r="25" spans="1:137">
      <c r="A25" s="235">
        <f t="shared" si="0"/>
        <v>18</v>
      </c>
      <c r="B25" s="235">
        <f t="shared" si="1"/>
        <v>35</v>
      </c>
      <c r="C25" s="235"/>
      <c r="D25" s="279" t="str">
        <f>INDEX(Table!E:E,MATCH(E25,Table!F:F,0))</f>
        <v>C</v>
      </c>
      <c r="E25" s="221" t="s">
        <v>488</v>
      </c>
      <c r="F25" s="233">
        <f t="shared" si="2"/>
        <v>-12.266477272727276</v>
      </c>
      <c r="G25" s="54">
        <f t="shared" si="3"/>
        <v>9</v>
      </c>
      <c r="H25" s="225">
        <v>-5.6363636363636367</v>
      </c>
      <c r="I25" s="231">
        <v>1</v>
      </c>
      <c r="J25" s="223">
        <f t="shared" si="7"/>
        <v>0</v>
      </c>
      <c r="K25" s="224"/>
      <c r="L25" s="224">
        <f>INDEX(Table!M:M,MATCH(E25,Table!F:F,0))</f>
        <v>0</v>
      </c>
      <c r="M25" s="223">
        <f t="shared" si="8"/>
        <v>0</v>
      </c>
      <c r="N25" s="225">
        <v>-5.05</v>
      </c>
      <c r="O25" s="226">
        <v>1</v>
      </c>
      <c r="P25" s="227"/>
      <c r="Q25" s="228">
        <v>-0.40000000000000036</v>
      </c>
      <c r="R25" s="229">
        <v>2</v>
      </c>
      <c r="S25" s="230"/>
      <c r="T25" s="225">
        <v>1.163636363636364</v>
      </c>
      <c r="U25" s="231">
        <v>2</v>
      </c>
      <c r="V25" s="227"/>
      <c r="W25" s="228">
        <v>-5.4</v>
      </c>
      <c r="X25" s="229">
        <v>1</v>
      </c>
      <c r="Y25" s="230"/>
      <c r="Z25" s="225">
        <v>3.0562499999999986</v>
      </c>
      <c r="AA25" s="231">
        <v>2</v>
      </c>
      <c r="AB25" s="227"/>
      <c r="AC25" s="228">
        <v>-5.6363636363636367</v>
      </c>
      <c r="AD25" s="229">
        <v>1</v>
      </c>
      <c r="AE25" s="230"/>
      <c r="AF25" s="225"/>
      <c r="AG25" s="231"/>
      <c r="AH25" s="227"/>
      <c r="AI25" s="228"/>
      <c r="AJ25" s="229"/>
      <c r="AK25" s="230"/>
      <c r="AL25" s="225"/>
      <c r="AM25" s="231"/>
      <c r="AN25" s="227"/>
      <c r="AO25" s="228"/>
      <c r="AP25" s="229"/>
      <c r="AQ25" s="230"/>
      <c r="AR25" s="225"/>
      <c r="AS25" s="231"/>
      <c r="AT25" s="227"/>
      <c r="AU25" s="228"/>
      <c r="AV25" s="229"/>
      <c r="AW25" s="230"/>
      <c r="AX25" s="225"/>
      <c r="AY25" s="231"/>
      <c r="AZ25" s="227"/>
      <c r="BA25" s="228"/>
      <c r="BB25" s="229"/>
      <c r="BC25" s="230"/>
      <c r="BD25" s="225"/>
      <c r="BE25" s="231"/>
      <c r="BF25" s="227"/>
      <c r="BG25" s="228"/>
      <c r="BH25" s="232"/>
      <c r="BI25" s="230"/>
      <c r="BJ25" s="225"/>
      <c r="BK25" s="231"/>
      <c r="BL25" s="227"/>
      <c r="BM25" s="228"/>
      <c r="BN25" s="232"/>
      <c r="BO25" s="230"/>
      <c r="BP25" s="225"/>
      <c r="BQ25" s="231"/>
      <c r="BR25" s="227"/>
      <c r="BS25" s="228"/>
      <c r="BT25" s="229"/>
      <c r="BU25" s="230"/>
      <c r="BV25" s="228">
        <f t="shared" si="4"/>
        <v>-12.266477272727276</v>
      </c>
      <c r="BW25" s="229">
        <f t="shared" si="5"/>
        <v>9</v>
      </c>
      <c r="BX25" s="230">
        <f t="shared" si="6"/>
        <v>0</v>
      </c>
      <c r="BY25" s="48"/>
      <c r="DX25" s="49"/>
      <c r="DY25" s="49"/>
      <c r="EF25" s="46"/>
      <c r="EG25" s="46"/>
    </row>
    <row r="26" spans="1:137">
      <c r="A26" s="235">
        <f t="shared" si="0"/>
        <v>40</v>
      </c>
      <c r="B26" s="235">
        <f t="shared" si="1"/>
        <v>40</v>
      </c>
      <c r="C26" s="235"/>
      <c r="D26" s="279" t="str">
        <f>INDEX(Table!E:E,MATCH(E26,Table!F:F,0))</f>
        <v>B</v>
      </c>
      <c r="E26" s="221" t="s">
        <v>518</v>
      </c>
      <c r="F26" s="233">
        <f t="shared" si="2"/>
        <v>-26.416666666666664</v>
      </c>
      <c r="G26" s="54">
        <f t="shared" si="3"/>
        <v>4</v>
      </c>
      <c r="H26" s="225">
        <v>-7</v>
      </c>
      <c r="I26" s="231">
        <v>0</v>
      </c>
      <c r="J26" s="223">
        <f t="shared" si="7"/>
        <v>0</v>
      </c>
      <c r="K26" s="224"/>
      <c r="L26" s="224">
        <f>INDEX(Table!M:M,MATCH(E26,Table!F:F,0))</f>
        <v>0</v>
      </c>
      <c r="M26" s="223">
        <f t="shared" si="8"/>
        <v>0</v>
      </c>
      <c r="N26" s="225">
        <v>-7</v>
      </c>
      <c r="O26" s="226">
        <v>0</v>
      </c>
      <c r="P26" s="227"/>
      <c r="Q26" s="228">
        <v>4.5999999999999996</v>
      </c>
      <c r="R26" s="229">
        <v>2</v>
      </c>
      <c r="S26" s="230"/>
      <c r="T26" s="225">
        <v>-7</v>
      </c>
      <c r="U26" s="231">
        <v>0</v>
      </c>
      <c r="V26" s="227"/>
      <c r="W26" s="228">
        <v>-4.8499999999999996</v>
      </c>
      <c r="X26" s="229">
        <v>1</v>
      </c>
      <c r="Y26" s="230"/>
      <c r="Z26" s="225">
        <v>-5.1666666666666661</v>
      </c>
      <c r="AA26" s="231">
        <v>1</v>
      </c>
      <c r="AB26" s="227"/>
      <c r="AC26" s="228">
        <v>-7</v>
      </c>
      <c r="AD26" s="229">
        <v>0</v>
      </c>
      <c r="AE26" s="230"/>
      <c r="AF26" s="225"/>
      <c r="AG26" s="231"/>
      <c r="AH26" s="227"/>
      <c r="AI26" s="228"/>
      <c r="AJ26" s="229"/>
      <c r="AK26" s="230"/>
      <c r="AL26" s="225"/>
      <c r="AM26" s="231"/>
      <c r="AN26" s="227"/>
      <c r="AO26" s="228"/>
      <c r="AP26" s="229"/>
      <c r="AQ26" s="230"/>
      <c r="AR26" s="225"/>
      <c r="AS26" s="231"/>
      <c r="AT26" s="227"/>
      <c r="AU26" s="228"/>
      <c r="AV26" s="229"/>
      <c r="AW26" s="230"/>
      <c r="AX26" s="225"/>
      <c r="AY26" s="231"/>
      <c r="AZ26" s="227"/>
      <c r="BA26" s="228"/>
      <c r="BB26" s="229"/>
      <c r="BC26" s="230"/>
      <c r="BD26" s="225"/>
      <c r="BE26" s="231"/>
      <c r="BF26" s="227"/>
      <c r="BG26" s="228"/>
      <c r="BH26" s="232"/>
      <c r="BI26" s="230"/>
      <c r="BJ26" s="225"/>
      <c r="BK26" s="231"/>
      <c r="BL26" s="227"/>
      <c r="BM26" s="228"/>
      <c r="BN26" s="232"/>
      <c r="BO26" s="230"/>
      <c r="BP26" s="225"/>
      <c r="BQ26" s="231"/>
      <c r="BR26" s="227"/>
      <c r="BS26" s="228"/>
      <c r="BT26" s="229"/>
      <c r="BU26" s="230"/>
      <c r="BV26" s="228">
        <f t="shared" si="4"/>
        <v>-26.416666666666664</v>
      </c>
      <c r="BW26" s="229">
        <f t="shared" si="5"/>
        <v>4</v>
      </c>
      <c r="BX26" s="230">
        <f t="shared" si="6"/>
        <v>0</v>
      </c>
      <c r="BY26" s="48"/>
      <c r="DX26" s="49"/>
      <c r="DY26" s="49"/>
      <c r="EF26" s="46"/>
      <c r="EG26" s="46"/>
    </row>
    <row r="27" spans="1:137">
      <c r="A27" s="235">
        <f t="shared" si="0"/>
        <v>28</v>
      </c>
      <c r="B27" s="235">
        <f t="shared" si="1"/>
        <v>32</v>
      </c>
      <c r="C27" s="235"/>
      <c r="D27" s="279" t="str">
        <f>INDEX(Table!E:E,MATCH(E27,Table!F:F,0))</f>
        <v>A</v>
      </c>
      <c r="E27" s="221" t="s">
        <v>286</v>
      </c>
      <c r="F27" s="233">
        <f t="shared" si="2"/>
        <v>-16.982063492063489</v>
      </c>
      <c r="G27" s="54">
        <f t="shared" si="3"/>
        <v>8</v>
      </c>
      <c r="H27" s="225">
        <v>-5.35</v>
      </c>
      <c r="I27" s="231">
        <v>1</v>
      </c>
      <c r="J27" s="223">
        <f t="shared" si="7"/>
        <v>0</v>
      </c>
      <c r="K27" s="224"/>
      <c r="L27" s="224">
        <f>INDEX(Table!M:M,MATCH(E27,Table!F:F,0))</f>
        <v>0</v>
      </c>
      <c r="M27" s="223">
        <f t="shared" si="8"/>
        <v>0</v>
      </c>
      <c r="N27" s="225">
        <v>-0.17777777777777715</v>
      </c>
      <c r="O27" s="226">
        <v>2</v>
      </c>
      <c r="P27" s="227"/>
      <c r="Q27" s="228">
        <v>2.5600000000000005</v>
      </c>
      <c r="R27" s="229">
        <v>2</v>
      </c>
      <c r="S27" s="230"/>
      <c r="T27" s="225">
        <v>-2.8</v>
      </c>
      <c r="U27" s="231">
        <v>1</v>
      </c>
      <c r="V27" s="227"/>
      <c r="W27" s="228">
        <v>-5.5</v>
      </c>
      <c r="X27" s="229">
        <v>1</v>
      </c>
      <c r="Y27" s="230"/>
      <c r="Z27" s="225">
        <v>-5.7142857142857144</v>
      </c>
      <c r="AA27" s="231">
        <v>1</v>
      </c>
      <c r="AB27" s="227"/>
      <c r="AC27" s="228">
        <v>-5.35</v>
      </c>
      <c r="AD27" s="229">
        <v>1</v>
      </c>
      <c r="AE27" s="230"/>
      <c r="AF27" s="225"/>
      <c r="AG27" s="231"/>
      <c r="AH27" s="227"/>
      <c r="AI27" s="228"/>
      <c r="AJ27" s="229"/>
      <c r="AK27" s="230"/>
      <c r="AL27" s="225"/>
      <c r="AM27" s="231"/>
      <c r="AN27" s="227"/>
      <c r="AO27" s="228"/>
      <c r="AP27" s="229"/>
      <c r="AQ27" s="230"/>
      <c r="AR27" s="225"/>
      <c r="AS27" s="231"/>
      <c r="AT27" s="227"/>
      <c r="AU27" s="228"/>
      <c r="AV27" s="229"/>
      <c r="AW27" s="230"/>
      <c r="AX27" s="225"/>
      <c r="AY27" s="231"/>
      <c r="AZ27" s="227"/>
      <c r="BA27" s="228"/>
      <c r="BB27" s="229"/>
      <c r="BC27" s="230"/>
      <c r="BD27" s="225"/>
      <c r="BE27" s="231"/>
      <c r="BF27" s="227"/>
      <c r="BG27" s="228"/>
      <c r="BH27" s="232"/>
      <c r="BI27" s="230"/>
      <c r="BJ27" s="225"/>
      <c r="BK27" s="231"/>
      <c r="BL27" s="227"/>
      <c r="BM27" s="228"/>
      <c r="BN27" s="232"/>
      <c r="BO27" s="230"/>
      <c r="BP27" s="225"/>
      <c r="BQ27" s="231"/>
      <c r="BR27" s="227"/>
      <c r="BS27" s="228"/>
      <c r="BT27" s="229"/>
      <c r="BU27" s="230"/>
      <c r="BV27" s="228">
        <f t="shared" si="4"/>
        <v>-16.982063492063489</v>
      </c>
      <c r="BW27" s="229">
        <f t="shared" si="5"/>
        <v>8</v>
      </c>
      <c r="BX27" s="230">
        <f t="shared" si="6"/>
        <v>0</v>
      </c>
      <c r="BY27" s="48"/>
      <c r="DX27" s="49"/>
      <c r="DY27" s="49"/>
      <c r="EF27" s="46"/>
      <c r="EG27" s="46"/>
    </row>
    <row r="28" spans="1:137">
      <c r="A28" s="235">
        <f t="shared" si="0"/>
        <v>33</v>
      </c>
      <c r="B28" s="235">
        <f t="shared" si="1"/>
        <v>40</v>
      </c>
      <c r="C28" s="235"/>
      <c r="D28" s="279" t="str">
        <f>INDEX(Table!E:E,MATCH(E28,Table!F:F,0))</f>
        <v>A</v>
      </c>
      <c r="E28" s="221" t="s">
        <v>276</v>
      </c>
      <c r="F28" s="233">
        <f t="shared" si="2"/>
        <v>-20.414797323888234</v>
      </c>
      <c r="G28" s="54">
        <f t="shared" si="3"/>
        <v>8</v>
      </c>
      <c r="H28" s="225">
        <v>-7</v>
      </c>
      <c r="I28" s="231">
        <v>0</v>
      </c>
      <c r="J28" s="223">
        <f t="shared" si="7"/>
        <v>0</v>
      </c>
      <c r="K28" s="224"/>
      <c r="L28" s="224">
        <f>INDEX(Table!M:M,MATCH(E28,Table!F:F,0))</f>
        <v>0</v>
      </c>
      <c r="M28" s="223">
        <f t="shared" si="8"/>
        <v>0</v>
      </c>
      <c r="N28" s="225">
        <v>-5.3333333333333339</v>
      </c>
      <c r="O28" s="226">
        <v>1</v>
      </c>
      <c r="P28" s="227"/>
      <c r="Q28" s="228">
        <v>0</v>
      </c>
      <c r="R28" s="229">
        <v>2</v>
      </c>
      <c r="S28" s="230"/>
      <c r="T28" s="225">
        <v>-1.6528925619834709</v>
      </c>
      <c r="U28" s="231">
        <v>2</v>
      </c>
      <c r="V28" s="227"/>
      <c r="W28" s="228">
        <v>-0.92857142857142883</v>
      </c>
      <c r="X28" s="229">
        <v>2</v>
      </c>
      <c r="Y28" s="230"/>
      <c r="Z28" s="225">
        <v>-5.5</v>
      </c>
      <c r="AA28" s="231">
        <v>1</v>
      </c>
      <c r="AB28" s="227"/>
      <c r="AC28" s="228">
        <v>-7</v>
      </c>
      <c r="AD28" s="229">
        <v>0</v>
      </c>
      <c r="AE28" s="230"/>
      <c r="AF28" s="225"/>
      <c r="AG28" s="231"/>
      <c r="AH28" s="227"/>
      <c r="AI28" s="228"/>
      <c r="AJ28" s="229"/>
      <c r="AK28" s="230"/>
      <c r="AL28" s="225"/>
      <c r="AM28" s="231"/>
      <c r="AN28" s="227"/>
      <c r="AO28" s="228"/>
      <c r="AP28" s="229"/>
      <c r="AQ28" s="230"/>
      <c r="AR28" s="225"/>
      <c r="AS28" s="231"/>
      <c r="AT28" s="227"/>
      <c r="AU28" s="228"/>
      <c r="AV28" s="229"/>
      <c r="AW28" s="230"/>
      <c r="AX28" s="225"/>
      <c r="AY28" s="231"/>
      <c r="AZ28" s="227"/>
      <c r="BA28" s="228"/>
      <c r="BB28" s="229"/>
      <c r="BC28" s="230"/>
      <c r="BD28" s="225"/>
      <c r="BE28" s="231"/>
      <c r="BF28" s="227"/>
      <c r="BG28" s="228"/>
      <c r="BH28" s="232"/>
      <c r="BI28" s="230"/>
      <c r="BJ28" s="225"/>
      <c r="BK28" s="231"/>
      <c r="BL28" s="227"/>
      <c r="BM28" s="228"/>
      <c r="BN28" s="232"/>
      <c r="BO28" s="230"/>
      <c r="BP28" s="225"/>
      <c r="BQ28" s="231"/>
      <c r="BR28" s="227"/>
      <c r="BS28" s="228"/>
      <c r="BT28" s="229"/>
      <c r="BU28" s="230"/>
      <c r="BV28" s="228">
        <f t="shared" si="4"/>
        <v>-20.414797323888234</v>
      </c>
      <c r="BW28" s="229">
        <f t="shared" si="5"/>
        <v>8</v>
      </c>
      <c r="BX28" s="230">
        <f t="shared" si="6"/>
        <v>0</v>
      </c>
      <c r="BY28" s="48"/>
      <c r="DX28" s="49"/>
      <c r="DY28" s="49"/>
      <c r="EF28" s="46"/>
      <c r="EG28" s="46"/>
    </row>
    <row r="29" spans="1:137">
      <c r="A29" s="235">
        <f t="shared" si="0"/>
        <v>47</v>
      </c>
      <c r="B29" s="235">
        <f t="shared" si="1"/>
        <v>20</v>
      </c>
      <c r="C29" s="235"/>
      <c r="D29" s="279" t="str">
        <f>INDEX(Table!E:E,MATCH(E29,Table!F:F,0))</f>
        <v>A</v>
      </c>
      <c r="E29" s="221" t="s">
        <v>277</v>
      </c>
      <c r="F29" s="233">
        <f t="shared" si="2"/>
        <v>-32.550000000000004</v>
      </c>
      <c r="G29" s="54">
        <f t="shared" si="3"/>
        <v>4</v>
      </c>
      <c r="H29" s="225">
        <v>-4.5999999999999996</v>
      </c>
      <c r="I29" s="231">
        <v>1</v>
      </c>
      <c r="J29" s="223">
        <f t="shared" si="7"/>
        <v>0</v>
      </c>
      <c r="K29" s="224"/>
      <c r="L29" s="224">
        <f>INDEX(Table!M:M,MATCH(E29,Table!F:F,0))</f>
        <v>0</v>
      </c>
      <c r="M29" s="223">
        <f t="shared" si="8"/>
        <v>0</v>
      </c>
      <c r="N29" s="225">
        <v>-4.3</v>
      </c>
      <c r="O29" s="226">
        <v>1</v>
      </c>
      <c r="P29" s="227"/>
      <c r="Q29" s="228">
        <v>-4.8</v>
      </c>
      <c r="R29" s="229">
        <v>1</v>
      </c>
      <c r="S29" s="230"/>
      <c r="T29" s="225">
        <v>-7</v>
      </c>
      <c r="U29" s="231">
        <v>0</v>
      </c>
      <c r="V29" s="227"/>
      <c r="W29" s="228">
        <v>-4.8499999999999996</v>
      </c>
      <c r="X29" s="229">
        <v>1</v>
      </c>
      <c r="Y29" s="230"/>
      <c r="Z29" s="225">
        <v>-7</v>
      </c>
      <c r="AA29" s="231">
        <v>0</v>
      </c>
      <c r="AB29" s="227"/>
      <c r="AC29" s="228">
        <v>-4.5999999999999996</v>
      </c>
      <c r="AD29" s="229">
        <v>1</v>
      </c>
      <c r="AE29" s="230"/>
      <c r="AF29" s="225"/>
      <c r="AG29" s="231"/>
      <c r="AH29" s="227"/>
      <c r="AI29" s="228"/>
      <c r="AJ29" s="229"/>
      <c r="AK29" s="230"/>
      <c r="AL29" s="225"/>
      <c r="AM29" s="231"/>
      <c r="AN29" s="227"/>
      <c r="AO29" s="228"/>
      <c r="AP29" s="229"/>
      <c r="AQ29" s="230"/>
      <c r="AR29" s="225"/>
      <c r="AS29" s="231"/>
      <c r="AT29" s="227"/>
      <c r="AU29" s="228"/>
      <c r="AV29" s="229"/>
      <c r="AW29" s="230"/>
      <c r="AX29" s="225"/>
      <c r="AY29" s="231"/>
      <c r="AZ29" s="227"/>
      <c r="BA29" s="228"/>
      <c r="BB29" s="229"/>
      <c r="BC29" s="230"/>
      <c r="BD29" s="225"/>
      <c r="BE29" s="231"/>
      <c r="BF29" s="227"/>
      <c r="BG29" s="228"/>
      <c r="BH29" s="232"/>
      <c r="BI29" s="230"/>
      <c r="BJ29" s="225"/>
      <c r="BK29" s="231"/>
      <c r="BL29" s="227"/>
      <c r="BM29" s="228"/>
      <c r="BN29" s="232"/>
      <c r="BO29" s="230"/>
      <c r="BP29" s="225"/>
      <c r="BQ29" s="231"/>
      <c r="BR29" s="227"/>
      <c r="BS29" s="228"/>
      <c r="BT29" s="229"/>
      <c r="BU29" s="230"/>
      <c r="BV29" s="228">
        <f t="shared" si="4"/>
        <v>-32.549999999999997</v>
      </c>
      <c r="BW29" s="229">
        <f t="shared" si="5"/>
        <v>4</v>
      </c>
      <c r="BX29" s="230">
        <f t="shared" si="6"/>
        <v>0</v>
      </c>
      <c r="BY29" s="48"/>
      <c r="DX29" s="49"/>
      <c r="DY29" s="49"/>
      <c r="EF29" s="46"/>
      <c r="EG29" s="46"/>
    </row>
    <row r="30" spans="1:137">
      <c r="A30" s="235">
        <f t="shared" si="0"/>
        <v>13</v>
      </c>
      <c r="B30" s="235">
        <f t="shared" si="1"/>
        <v>3</v>
      </c>
      <c r="C30" s="235"/>
      <c r="D30" s="279" t="str">
        <f>INDEX(Table!E:E,MATCH(E30,Table!F:F,0))</f>
        <v>B</v>
      </c>
      <c r="E30" s="221" t="s">
        <v>273</v>
      </c>
      <c r="F30" s="233">
        <f t="shared" si="2"/>
        <v>-9.7723214285714306</v>
      </c>
      <c r="G30" s="54">
        <f t="shared" si="3"/>
        <v>7</v>
      </c>
      <c r="H30" s="225">
        <v>14.65625</v>
      </c>
      <c r="I30" s="231">
        <v>3</v>
      </c>
      <c r="J30" s="223">
        <f t="shared" si="7"/>
        <v>5</v>
      </c>
      <c r="K30" s="224"/>
      <c r="L30" s="224">
        <f>INDEX(Table!M:M,MATCH(E30,Table!F:F,0))</f>
        <v>11.025</v>
      </c>
      <c r="M30" s="223">
        <f t="shared" si="8"/>
        <v>16.024999999999999</v>
      </c>
      <c r="N30" s="225">
        <v>-7</v>
      </c>
      <c r="O30" s="226">
        <v>0</v>
      </c>
      <c r="P30" s="227"/>
      <c r="Q30" s="228">
        <v>-5.5</v>
      </c>
      <c r="R30" s="229">
        <v>1</v>
      </c>
      <c r="S30" s="230"/>
      <c r="T30" s="225">
        <v>-4</v>
      </c>
      <c r="U30" s="231">
        <v>1</v>
      </c>
      <c r="V30" s="227"/>
      <c r="W30" s="228">
        <v>-7</v>
      </c>
      <c r="X30" s="229">
        <v>0</v>
      </c>
      <c r="Y30" s="230"/>
      <c r="Z30" s="225">
        <v>-0.92857142857142883</v>
      </c>
      <c r="AA30" s="231">
        <v>2</v>
      </c>
      <c r="AB30" s="227"/>
      <c r="AC30" s="228">
        <v>14.65625</v>
      </c>
      <c r="AD30" s="229">
        <v>3</v>
      </c>
      <c r="AE30" s="230">
        <v>5</v>
      </c>
      <c r="AF30" s="225"/>
      <c r="AG30" s="231"/>
      <c r="AH30" s="227"/>
      <c r="AI30" s="228"/>
      <c r="AJ30" s="229"/>
      <c r="AK30" s="230"/>
      <c r="AL30" s="225"/>
      <c r="AM30" s="231"/>
      <c r="AN30" s="227"/>
      <c r="AO30" s="228"/>
      <c r="AP30" s="229"/>
      <c r="AQ30" s="230"/>
      <c r="AR30" s="225"/>
      <c r="AS30" s="231"/>
      <c r="AT30" s="227"/>
      <c r="AU30" s="228"/>
      <c r="AV30" s="229"/>
      <c r="AW30" s="230"/>
      <c r="AX30" s="225"/>
      <c r="AY30" s="231"/>
      <c r="AZ30" s="227"/>
      <c r="BA30" s="228"/>
      <c r="BB30" s="229"/>
      <c r="BC30" s="230"/>
      <c r="BD30" s="225"/>
      <c r="BE30" s="231"/>
      <c r="BF30" s="227"/>
      <c r="BG30" s="228"/>
      <c r="BH30" s="232"/>
      <c r="BI30" s="230"/>
      <c r="BJ30" s="225"/>
      <c r="BK30" s="231"/>
      <c r="BL30" s="227"/>
      <c r="BM30" s="228"/>
      <c r="BN30" s="232"/>
      <c r="BO30" s="230"/>
      <c r="BP30" s="225"/>
      <c r="BQ30" s="231"/>
      <c r="BR30" s="227"/>
      <c r="BS30" s="228"/>
      <c r="BT30" s="229"/>
      <c r="BU30" s="230"/>
      <c r="BV30" s="228">
        <f t="shared" si="4"/>
        <v>-9.7723214285714288</v>
      </c>
      <c r="BW30" s="229">
        <f t="shared" si="5"/>
        <v>7</v>
      </c>
      <c r="BX30" s="230">
        <f t="shared" si="6"/>
        <v>5</v>
      </c>
      <c r="BY30" s="48"/>
      <c r="DX30" s="49"/>
      <c r="DY30" s="49"/>
      <c r="EF30" s="46"/>
      <c r="EG30" s="46"/>
    </row>
    <row r="31" spans="1:137">
      <c r="A31" s="235">
        <f t="shared" si="0"/>
        <v>32</v>
      </c>
      <c r="B31" s="235">
        <f t="shared" si="1"/>
        <v>40</v>
      </c>
      <c r="C31" s="235"/>
      <c r="D31" s="279" t="str">
        <f>INDEX(Table!E:E,MATCH(E31,Table!F:F,0))</f>
        <v>C</v>
      </c>
      <c r="E31" s="221" t="s">
        <v>272</v>
      </c>
      <c r="F31" s="233">
        <f t="shared" si="2"/>
        <v>-19.4025</v>
      </c>
      <c r="G31" s="54">
        <f t="shared" si="3"/>
        <v>6</v>
      </c>
      <c r="H31" s="225">
        <v>-7</v>
      </c>
      <c r="I31" s="231">
        <v>0</v>
      </c>
      <c r="J31" s="223">
        <f t="shared" si="7"/>
        <v>0</v>
      </c>
      <c r="K31" s="224"/>
      <c r="L31" s="224">
        <f>INDEX(Table!M:M,MATCH(E31,Table!F:F,0))</f>
        <v>0</v>
      </c>
      <c r="M31" s="223">
        <f t="shared" si="8"/>
        <v>0</v>
      </c>
      <c r="N31" s="225">
        <v>2.2375000000000007</v>
      </c>
      <c r="O31" s="226">
        <v>2</v>
      </c>
      <c r="P31" s="227"/>
      <c r="Q31" s="228">
        <v>2.5600000000000005</v>
      </c>
      <c r="R31" s="229">
        <v>2</v>
      </c>
      <c r="S31" s="230"/>
      <c r="T31" s="225">
        <v>-4.95</v>
      </c>
      <c r="U31" s="231">
        <v>1</v>
      </c>
      <c r="V31" s="227"/>
      <c r="W31" s="228">
        <v>-7</v>
      </c>
      <c r="X31" s="229">
        <v>0</v>
      </c>
      <c r="Y31" s="230"/>
      <c r="Z31" s="225">
        <v>-5.25</v>
      </c>
      <c r="AA31" s="231">
        <v>1</v>
      </c>
      <c r="AB31" s="227"/>
      <c r="AC31" s="228">
        <v>-7</v>
      </c>
      <c r="AD31" s="229">
        <v>0</v>
      </c>
      <c r="AE31" s="230"/>
      <c r="AF31" s="225"/>
      <c r="AG31" s="231"/>
      <c r="AH31" s="227"/>
      <c r="AI31" s="228"/>
      <c r="AJ31" s="229"/>
      <c r="AK31" s="230"/>
      <c r="AL31" s="225"/>
      <c r="AM31" s="231"/>
      <c r="AN31" s="227"/>
      <c r="AO31" s="228"/>
      <c r="AP31" s="229"/>
      <c r="AQ31" s="230"/>
      <c r="AR31" s="225"/>
      <c r="AS31" s="231"/>
      <c r="AT31" s="227"/>
      <c r="AU31" s="228"/>
      <c r="AV31" s="229"/>
      <c r="AW31" s="230"/>
      <c r="AX31" s="225"/>
      <c r="AY31" s="231"/>
      <c r="AZ31" s="227"/>
      <c r="BA31" s="228"/>
      <c r="BB31" s="229"/>
      <c r="BC31" s="230"/>
      <c r="BD31" s="225"/>
      <c r="BE31" s="231"/>
      <c r="BF31" s="227"/>
      <c r="BG31" s="228"/>
      <c r="BH31" s="232"/>
      <c r="BI31" s="230"/>
      <c r="BJ31" s="225"/>
      <c r="BK31" s="231"/>
      <c r="BL31" s="227"/>
      <c r="BM31" s="228"/>
      <c r="BN31" s="232"/>
      <c r="BO31" s="230"/>
      <c r="BP31" s="225"/>
      <c r="BQ31" s="231"/>
      <c r="BR31" s="227"/>
      <c r="BS31" s="228"/>
      <c r="BT31" s="229"/>
      <c r="BU31" s="230"/>
      <c r="BV31" s="228">
        <f t="shared" si="4"/>
        <v>-19.4025</v>
      </c>
      <c r="BW31" s="229">
        <f t="shared" si="5"/>
        <v>6</v>
      </c>
      <c r="BX31" s="230">
        <f t="shared" si="6"/>
        <v>0</v>
      </c>
      <c r="BY31" s="48"/>
      <c r="DX31" s="49"/>
      <c r="DY31" s="49"/>
      <c r="EF31" s="46"/>
      <c r="EG31" s="46"/>
    </row>
    <row r="32" spans="1:137" ht="13.35" customHeight="1">
      <c r="A32" s="235">
        <f t="shared" si="0"/>
        <v>38</v>
      </c>
      <c r="B32" s="235">
        <f t="shared" si="1"/>
        <v>40</v>
      </c>
      <c r="C32" s="235"/>
      <c r="D32" s="279" t="str">
        <f>INDEX(Table!E:E,MATCH(E32,Table!F:F,0))</f>
        <v>B</v>
      </c>
      <c r="E32" s="221" t="s">
        <v>350</v>
      </c>
      <c r="F32" s="233">
        <f t="shared" si="2"/>
        <v>-25.856363636363632</v>
      </c>
      <c r="G32" s="54">
        <f t="shared" si="3"/>
        <v>5</v>
      </c>
      <c r="H32" s="225">
        <v>-7</v>
      </c>
      <c r="I32" s="231">
        <v>0</v>
      </c>
      <c r="J32" s="223">
        <f t="shared" si="7"/>
        <v>5</v>
      </c>
      <c r="K32" s="224"/>
      <c r="L32" s="224">
        <f>INDEX(Table!M:M,MATCH(E32,Table!F:F,0))</f>
        <v>0</v>
      </c>
      <c r="M32" s="223">
        <f t="shared" si="8"/>
        <v>5</v>
      </c>
      <c r="N32" s="225">
        <v>-5.2</v>
      </c>
      <c r="O32" s="226">
        <v>1</v>
      </c>
      <c r="P32" s="227"/>
      <c r="Q32" s="228">
        <v>-5.5</v>
      </c>
      <c r="R32" s="229">
        <v>1</v>
      </c>
      <c r="S32" s="230"/>
      <c r="T32" s="225">
        <v>5.8436363636363655</v>
      </c>
      <c r="U32" s="231">
        <v>3</v>
      </c>
      <c r="V32" s="227">
        <v>5</v>
      </c>
      <c r="W32" s="228">
        <v>-7</v>
      </c>
      <c r="X32" s="229">
        <v>0</v>
      </c>
      <c r="Y32" s="230"/>
      <c r="Z32" s="225">
        <v>-7</v>
      </c>
      <c r="AA32" s="231">
        <v>0</v>
      </c>
      <c r="AB32" s="227"/>
      <c r="AC32" s="228">
        <v>-7</v>
      </c>
      <c r="AD32" s="229">
        <v>0</v>
      </c>
      <c r="AE32" s="230"/>
      <c r="AF32" s="225"/>
      <c r="AG32" s="231"/>
      <c r="AH32" s="227"/>
      <c r="AI32" s="228"/>
      <c r="AJ32" s="229"/>
      <c r="AK32" s="230"/>
      <c r="AL32" s="225"/>
      <c r="AM32" s="231"/>
      <c r="AN32" s="227"/>
      <c r="AO32" s="228"/>
      <c r="AP32" s="229"/>
      <c r="AQ32" s="230"/>
      <c r="AR32" s="225"/>
      <c r="AS32" s="231"/>
      <c r="AT32" s="227"/>
      <c r="AU32" s="228"/>
      <c r="AV32" s="229"/>
      <c r="AW32" s="230"/>
      <c r="AX32" s="225"/>
      <c r="AY32" s="231"/>
      <c r="AZ32" s="227"/>
      <c r="BA32" s="228"/>
      <c r="BB32" s="229"/>
      <c r="BC32" s="230"/>
      <c r="BD32" s="225"/>
      <c r="BE32" s="231"/>
      <c r="BF32" s="227"/>
      <c r="BG32" s="228"/>
      <c r="BH32" s="232"/>
      <c r="BI32" s="230"/>
      <c r="BJ32" s="225"/>
      <c r="BK32" s="231"/>
      <c r="BL32" s="227"/>
      <c r="BM32" s="228"/>
      <c r="BN32" s="232"/>
      <c r="BO32" s="230"/>
      <c r="BP32" s="225"/>
      <c r="BQ32" s="231"/>
      <c r="BR32" s="227"/>
      <c r="BS32" s="228"/>
      <c r="BT32" s="229"/>
      <c r="BU32" s="230"/>
      <c r="BV32" s="228">
        <f t="shared" si="4"/>
        <v>-25.856363636363636</v>
      </c>
      <c r="BW32" s="229">
        <f t="shared" si="5"/>
        <v>5</v>
      </c>
      <c r="BX32" s="230">
        <f t="shared" si="6"/>
        <v>5</v>
      </c>
      <c r="BY32" s="48"/>
      <c r="DX32" s="49"/>
      <c r="DY32" s="49"/>
      <c r="EF32" s="46"/>
      <c r="EG32" s="46"/>
    </row>
    <row r="33" spans="1:137">
      <c r="A33" s="235">
        <f t="shared" ref="A33:A45" si="9">_xlfn.RANK.EQ(F33,totalscores,0)</f>
        <v>31</v>
      </c>
      <c r="B33" s="235">
        <f t="shared" si="1"/>
        <v>23</v>
      </c>
      <c r="C33" s="235"/>
      <c r="D33" s="279" t="str">
        <f>INDEX(Table!E:E,MATCH(E33,Table!F:F,0))</f>
        <v>A</v>
      </c>
      <c r="E33" s="221" t="s">
        <v>280</v>
      </c>
      <c r="F33" s="233">
        <f t="shared" ref="F33:F45" si="10">+N33+Q33+T33+W33+Z33+AC33+AF33+AI33+AL33+AO33+AR33+AU33+AX33+BA33+BD33+BG33+BJ33+BM33+BP33+BS33</f>
        <v>-18.336363636363636</v>
      </c>
      <c r="G33" s="54">
        <f t="shared" ref="G33:G45" si="11">+O33+R33+U33+X33+AA33+AD33+AG33+AJ33+AM33+AP33+AS33+AV33+AY33+BB33+BE33+BH33+BK33+BN33+BQ33+BT33</f>
        <v>6</v>
      </c>
      <c r="H33" s="225">
        <v>-4.8</v>
      </c>
      <c r="I33" s="231">
        <v>1</v>
      </c>
      <c r="J33" s="223">
        <f t="shared" si="7"/>
        <v>0</v>
      </c>
      <c r="K33" s="224"/>
      <c r="L33" s="224">
        <f>INDEX(Table!M:M,MATCH(E33,Table!F:F,0))</f>
        <v>0</v>
      </c>
      <c r="M33" s="223">
        <f t="shared" si="8"/>
        <v>0</v>
      </c>
      <c r="N33" s="225">
        <v>-3.9</v>
      </c>
      <c r="O33" s="226">
        <v>1</v>
      </c>
      <c r="P33" s="227"/>
      <c r="Q33" s="228">
        <v>3.3454545454545457</v>
      </c>
      <c r="R33" s="229">
        <v>2</v>
      </c>
      <c r="S33" s="230"/>
      <c r="T33" s="225">
        <v>1.0181818181818194</v>
      </c>
      <c r="U33" s="231">
        <v>2</v>
      </c>
      <c r="V33" s="227"/>
      <c r="W33" s="228">
        <v>-7</v>
      </c>
      <c r="X33" s="229">
        <v>0</v>
      </c>
      <c r="Y33" s="230"/>
      <c r="Z33" s="225">
        <v>-7</v>
      </c>
      <c r="AA33" s="231">
        <v>0</v>
      </c>
      <c r="AB33" s="227"/>
      <c r="AC33" s="228">
        <v>-4.8</v>
      </c>
      <c r="AD33" s="229">
        <v>1</v>
      </c>
      <c r="AE33" s="230"/>
      <c r="AF33" s="225"/>
      <c r="AG33" s="231"/>
      <c r="AH33" s="227"/>
      <c r="AI33" s="228"/>
      <c r="AJ33" s="229"/>
      <c r="AK33" s="230"/>
      <c r="AL33" s="225"/>
      <c r="AM33" s="231"/>
      <c r="AN33" s="227"/>
      <c r="AO33" s="228"/>
      <c r="AP33" s="229"/>
      <c r="AQ33" s="230"/>
      <c r="AR33" s="225"/>
      <c r="AS33" s="231"/>
      <c r="AT33" s="227"/>
      <c r="AU33" s="228"/>
      <c r="AV33" s="229"/>
      <c r="AW33" s="230"/>
      <c r="AX33" s="225"/>
      <c r="AY33" s="231"/>
      <c r="AZ33" s="227"/>
      <c r="BA33" s="228"/>
      <c r="BB33" s="229"/>
      <c r="BC33" s="230"/>
      <c r="BD33" s="225"/>
      <c r="BE33" s="231"/>
      <c r="BF33" s="227"/>
      <c r="BG33" s="228"/>
      <c r="BH33" s="232"/>
      <c r="BI33" s="230"/>
      <c r="BJ33" s="225"/>
      <c r="BK33" s="231"/>
      <c r="BL33" s="227"/>
      <c r="BM33" s="228"/>
      <c r="BN33" s="232"/>
      <c r="BO33" s="230"/>
      <c r="BP33" s="225"/>
      <c r="BQ33" s="231"/>
      <c r="BR33" s="227"/>
      <c r="BS33" s="228"/>
      <c r="BT33" s="229"/>
      <c r="BU33" s="230"/>
      <c r="BV33" s="228">
        <f t="shared" ref="BV33:BV45" si="12">BS33+BP33+BM33+BJ33+BG33+BD33+BA33+AX33+AU33+AR33+AO33+AL33+AI33+AF33+AC33+Z33+W33+T33+Q33+N33</f>
        <v>-18.336363636363636</v>
      </c>
      <c r="BW33" s="229">
        <f t="shared" ref="BW33:BW45" si="13">BT33+BQ33+BN33+BK33+BH33+BE33+BB33+AY33+AV33+AS33+AP33+AM33+AJ33+AG33+AD33+AA33+X33+U33+R33+O33</f>
        <v>6</v>
      </c>
      <c r="BX33" s="230">
        <f t="shared" ref="BX33:BX45" si="14">BU33+BR33+BO33+BL33+BI33+BF33+BC33+AZ33+AW33+AT33+AQ33+AN33+AK33+AH33+AE33+AB33+Y33+V33+S33+P33</f>
        <v>0</v>
      </c>
      <c r="BY33" s="48"/>
      <c r="DX33" s="49"/>
      <c r="DY33" s="49"/>
      <c r="EF33" s="46"/>
      <c r="EG33" s="46"/>
    </row>
    <row r="34" spans="1:137">
      <c r="A34" s="235">
        <f t="shared" si="9"/>
        <v>21</v>
      </c>
      <c r="B34" s="235">
        <f t="shared" si="1"/>
        <v>33</v>
      </c>
      <c r="C34" s="235"/>
      <c r="D34" s="279" t="str">
        <f>INDEX(Table!E:E,MATCH(E34,Table!F:F,0))</f>
        <v>C</v>
      </c>
      <c r="E34" s="221" t="s">
        <v>535</v>
      </c>
      <c r="F34" s="233">
        <f t="shared" si="10"/>
        <v>-15.487619047619049</v>
      </c>
      <c r="G34" s="54">
        <f t="shared" si="11"/>
        <v>9</v>
      </c>
      <c r="H34" s="225">
        <v>-5.5</v>
      </c>
      <c r="I34" s="231">
        <v>1</v>
      </c>
      <c r="J34" s="223">
        <f t="shared" si="7"/>
        <v>0</v>
      </c>
      <c r="K34" s="224"/>
      <c r="L34" s="224">
        <f>INDEX(Table!M:M,MATCH(E34,Table!F:F,0))</f>
        <v>0</v>
      </c>
      <c r="M34" s="223">
        <f t="shared" si="8"/>
        <v>0</v>
      </c>
      <c r="N34" s="225">
        <v>-4.25</v>
      </c>
      <c r="O34" s="226">
        <v>1</v>
      </c>
      <c r="P34" s="227"/>
      <c r="Q34" s="228">
        <v>-1.3333333333333339</v>
      </c>
      <c r="R34" s="229">
        <v>2</v>
      </c>
      <c r="S34" s="230"/>
      <c r="T34" s="225">
        <v>0.46000000000000085</v>
      </c>
      <c r="U34" s="231">
        <v>2</v>
      </c>
      <c r="V34" s="227"/>
      <c r="W34" s="228">
        <v>-5.35</v>
      </c>
      <c r="X34" s="229">
        <v>1</v>
      </c>
      <c r="Y34" s="230"/>
      <c r="Z34" s="225">
        <v>0.48571428571428488</v>
      </c>
      <c r="AA34" s="231">
        <v>2</v>
      </c>
      <c r="AB34" s="227"/>
      <c r="AC34" s="228">
        <v>-5.5</v>
      </c>
      <c r="AD34" s="229">
        <v>1</v>
      </c>
      <c r="AE34" s="230"/>
      <c r="AF34" s="225"/>
      <c r="AG34" s="231"/>
      <c r="AH34" s="227"/>
      <c r="AI34" s="228"/>
      <c r="AJ34" s="229"/>
      <c r="AK34" s="230"/>
      <c r="AL34" s="225"/>
      <c r="AM34" s="231"/>
      <c r="AN34" s="227"/>
      <c r="AO34" s="228"/>
      <c r="AP34" s="229"/>
      <c r="AQ34" s="230"/>
      <c r="AR34" s="225"/>
      <c r="AS34" s="231"/>
      <c r="AT34" s="227"/>
      <c r="AU34" s="228"/>
      <c r="AV34" s="229"/>
      <c r="AW34" s="230"/>
      <c r="AX34" s="225"/>
      <c r="AY34" s="231"/>
      <c r="AZ34" s="227"/>
      <c r="BA34" s="228"/>
      <c r="BB34" s="229"/>
      <c r="BC34" s="230"/>
      <c r="BD34" s="225"/>
      <c r="BE34" s="231"/>
      <c r="BF34" s="227"/>
      <c r="BG34" s="228"/>
      <c r="BH34" s="232"/>
      <c r="BI34" s="230"/>
      <c r="BJ34" s="225"/>
      <c r="BK34" s="231"/>
      <c r="BL34" s="227"/>
      <c r="BM34" s="228"/>
      <c r="BN34" s="232"/>
      <c r="BO34" s="230"/>
      <c r="BP34" s="225"/>
      <c r="BQ34" s="231"/>
      <c r="BR34" s="227"/>
      <c r="BS34" s="228"/>
      <c r="BT34" s="229"/>
      <c r="BU34" s="230"/>
      <c r="BV34" s="228">
        <f t="shared" si="12"/>
        <v>-15.487619047619047</v>
      </c>
      <c r="BW34" s="229">
        <f t="shared" si="13"/>
        <v>9</v>
      </c>
      <c r="BX34" s="230">
        <f t="shared" si="14"/>
        <v>0</v>
      </c>
      <c r="BY34" s="48"/>
      <c r="DX34" s="49"/>
      <c r="DY34" s="49"/>
      <c r="EF34" s="46"/>
      <c r="EG34" s="46"/>
    </row>
    <row r="35" spans="1:137">
      <c r="A35" s="235">
        <f t="shared" si="9"/>
        <v>17</v>
      </c>
      <c r="B35" s="235">
        <f t="shared" si="1"/>
        <v>17</v>
      </c>
      <c r="C35" s="235"/>
      <c r="D35" s="279" t="str">
        <f>INDEX(Table!E:E,MATCH(E35,Table!F:F,0))</f>
        <v>A</v>
      </c>
      <c r="E35" s="221" t="s">
        <v>349</v>
      </c>
      <c r="F35" s="233">
        <f t="shared" si="10"/>
        <v>-12.149350649350648</v>
      </c>
      <c r="G35" s="54">
        <f t="shared" si="11"/>
        <v>10</v>
      </c>
      <c r="H35" s="225">
        <v>-2.0909090909090899</v>
      </c>
      <c r="I35" s="231">
        <v>2</v>
      </c>
      <c r="J35" s="223">
        <f t="shared" si="7"/>
        <v>0</v>
      </c>
      <c r="K35" s="224"/>
      <c r="L35" s="224">
        <f>INDEX(Table!M:M,MATCH(E35,Table!F:F,0))</f>
        <v>15.75</v>
      </c>
      <c r="M35" s="223">
        <f t="shared" si="8"/>
        <v>15.75</v>
      </c>
      <c r="N35" s="225">
        <v>-4.3</v>
      </c>
      <c r="O35" s="226">
        <v>1</v>
      </c>
      <c r="P35" s="227"/>
      <c r="Q35" s="228">
        <v>3</v>
      </c>
      <c r="R35" s="229">
        <v>2</v>
      </c>
      <c r="S35" s="230"/>
      <c r="T35" s="225">
        <v>-2.8727272727272721</v>
      </c>
      <c r="U35" s="231">
        <v>2</v>
      </c>
      <c r="V35" s="227"/>
      <c r="W35" s="228">
        <v>-3.6</v>
      </c>
      <c r="X35" s="229">
        <v>1</v>
      </c>
      <c r="Y35" s="230"/>
      <c r="Z35" s="225">
        <v>-2.2857142857142865</v>
      </c>
      <c r="AA35" s="231">
        <v>2</v>
      </c>
      <c r="AB35" s="227"/>
      <c r="AC35" s="228">
        <v>-2.0909090909090899</v>
      </c>
      <c r="AD35" s="229">
        <v>2</v>
      </c>
      <c r="AE35" s="230"/>
      <c r="AF35" s="225"/>
      <c r="AG35" s="231"/>
      <c r="AH35" s="227"/>
      <c r="AI35" s="228"/>
      <c r="AJ35" s="229"/>
      <c r="AK35" s="230"/>
      <c r="AL35" s="225"/>
      <c r="AM35" s="231"/>
      <c r="AN35" s="227"/>
      <c r="AO35" s="228"/>
      <c r="AP35" s="229"/>
      <c r="AQ35" s="230"/>
      <c r="AR35" s="225"/>
      <c r="AS35" s="231"/>
      <c r="AT35" s="227"/>
      <c r="AU35" s="228"/>
      <c r="AV35" s="229"/>
      <c r="AW35" s="230"/>
      <c r="AX35" s="225"/>
      <c r="AY35" s="231"/>
      <c r="AZ35" s="227"/>
      <c r="BA35" s="228"/>
      <c r="BB35" s="229"/>
      <c r="BC35" s="230"/>
      <c r="BD35" s="225"/>
      <c r="BE35" s="231"/>
      <c r="BF35" s="227"/>
      <c r="BG35" s="228"/>
      <c r="BH35" s="232"/>
      <c r="BI35" s="230"/>
      <c r="BJ35" s="225"/>
      <c r="BK35" s="231"/>
      <c r="BL35" s="227"/>
      <c r="BM35" s="228"/>
      <c r="BN35" s="232"/>
      <c r="BO35" s="230"/>
      <c r="BP35" s="225"/>
      <c r="BQ35" s="231"/>
      <c r="BR35" s="227"/>
      <c r="BS35" s="228"/>
      <c r="BT35" s="229"/>
      <c r="BU35" s="230"/>
      <c r="BV35" s="228">
        <f t="shared" si="12"/>
        <v>-12.149350649350648</v>
      </c>
      <c r="BW35" s="229">
        <f t="shared" si="13"/>
        <v>10</v>
      </c>
      <c r="BX35" s="230">
        <f t="shared" si="14"/>
        <v>0</v>
      </c>
      <c r="BY35" s="48"/>
      <c r="BZ35" s="48"/>
      <c r="DX35" s="49"/>
      <c r="DY35" s="49"/>
      <c r="EF35" s="46"/>
      <c r="EG35" s="46"/>
    </row>
    <row r="36" spans="1:137">
      <c r="A36" s="235">
        <f t="shared" si="9"/>
        <v>14</v>
      </c>
      <c r="B36" s="235">
        <f t="shared" si="1"/>
        <v>40</v>
      </c>
      <c r="C36" s="235"/>
      <c r="D36" s="279" t="str">
        <f>INDEX(Table!E:E,MATCH(E36,Table!F:F,0))</f>
        <v>A</v>
      </c>
      <c r="E36" s="221" t="s">
        <v>292</v>
      </c>
      <c r="F36" s="233">
        <f t="shared" si="10"/>
        <v>-10.369008264462805</v>
      </c>
      <c r="G36" s="54">
        <f t="shared" si="11"/>
        <v>6</v>
      </c>
      <c r="H36" s="225">
        <v>-7</v>
      </c>
      <c r="I36" s="231">
        <v>0</v>
      </c>
      <c r="J36" s="223">
        <f t="shared" si="7"/>
        <v>10</v>
      </c>
      <c r="K36" s="224"/>
      <c r="L36" s="224">
        <f>INDEX(Table!M:M,MATCH(E36,Table!F:F,0))</f>
        <v>27</v>
      </c>
      <c r="M36" s="223">
        <f t="shared" si="8"/>
        <v>37</v>
      </c>
      <c r="N36" s="225">
        <v>-5.05</v>
      </c>
      <c r="O36" s="226">
        <v>1</v>
      </c>
      <c r="P36" s="227"/>
      <c r="Q36" s="228">
        <v>19.080991735537197</v>
      </c>
      <c r="R36" s="229">
        <v>3</v>
      </c>
      <c r="S36" s="230">
        <v>10</v>
      </c>
      <c r="T36" s="225">
        <v>-4.9000000000000004</v>
      </c>
      <c r="U36" s="231">
        <v>1</v>
      </c>
      <c r="V36" s="227"/>
      <c r="W36" s="228">
        <v>-7</v>
      </c>
      <c r="X36" s="229">
        <v>0</v>
      </c>
      <c r="Y36" s="230"/>
      <c r="Z36" s="225">
        <v>-5.5</v>
      </c>
      <c r="AA36" s="231">
        <v>1</v>
      </c>
      <c r="AB36" s="227"/>
      <c r="AC36" s="228">
        <v>-7</v>
      </c>
      <c r="AD36" s="229">
        <v>0</v>
      </c>
      <c r="AE36" s="230"/>
      <c r="AF36" s="225"/>
      <c r="AG36" s="231"/>
      <c r="AH36" s="227"/>
      <c r="AI36" s="228"/>
      <c r="AJ36" s="229"/>
      <c r="AK36" s="230"/>
      <c r="AL36" s="225"/>
      <c r="AM36" s="231"/>
      <c r="AN36" s="227"/>
      <c r="AO36" s="228"/>
      <c r="AP36" s="229"/>
      <c r="AQ36" s="230"/>
      <c r="AR36" s="225"/>
      <c r="AS36" s="231"/>
      <c r="AT36" s="227"/>
      <c r="AU36" s="228"/>
      <c r="AV36" s="229"/>
      <c r="AW36" s="230"/>
      <c r="AX36" s="225"/>
      <c r="AY36" s="231"/>
      <c r="AZ36" s="227"/>
      <c r="BA36" s="228"/>
      <c r="BB36" s="229"/>
      <c r="BC36" s="230"/>
      <c r="BD36" s="225"/>
      <c r="BE36" s="231"/>
      <c r="BF36" s="227"/>
      <c r="BG36" s="228"/>
      <c r="BH36" s="232"/>
      <c r="BI36" s="230"/>
      <c r="BJ36" s="225"/>
      <c r="BK36" s="231"/>
      <c r="BL36" s="227"/>
      <c r="BM36" s="228"/>
      <c r="BN36" s="232"/>
      <c r="BO36" s="230"/>
      <c r="BP36" s="225"/>
      <c r="BQ36" s="231"/>
      <c r="BR36" s="227"/>
      <c r="BS36" s="228"/>
      <c r="BT36" s="229"/>
      <c r="BU36" s="230"/>
      <c r="BV36" s="228">
        <f t="shared" si="12"/>
        <v>-10.369008264462803</v>
      </c>
      <c r="BW36" s="229">
        <f t="shared" si="13"/>
        <v>6</v>
      </c>
      <c r="BX36" s="230">
        <f t="shared" si="14"/>
        <v>10</v>
      </c>
      <c r="BY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c r="DA36" s="48"/>
      <c r="DB36" s="48"/>
      <c r="DC36" s="48"/>
      <c r="DD36" s="48"/>
      <c r="DE36" s="48"/>
      <c r="DF36" s="48"/>
      <c r="DG36" s="48"/>
      <c r="DH36" s="48"/>
      <c r="DI36" s="48"/>
      <c r="DJ36" s="48"/>
      <c r="DK36" s="48"/>
      <c r="DL36" s="48"/>
      <c r="DM36" s="48"/>
      <c r="DN36" s="48"/>
      <c r="DO36" s="48"/>
      <c r="DP36" s="48"/>
      <c r="DQ36" s="48"/>
      <c r="DR36" s="48"/>
      <c r="DS36" s="48"/>
      <c r="DT36" s="48"/>
      <c r="DU36" s="48"/>
      <c r="DV36" s="48"/>
      <c r="DW36" s="48"/>
      <c r="DX36" s="46"/>
      <c r="DY36" s="46"/>
      <c r="DZ36" s="46"/>
      <c r="EA36" s="46"/>
      <c r="EB36" s="46"/>
      <c r="EC36" s="46"/>
      <c r="ED36" s="46"/>
      <c r="EE36" s="46"/>
      <c r="EF36" s="46"/>
      <c r="EG36" s="46"/>
    </row>
    <row r="37" spans="1:137">
      <c r="A37" s="235">
        <f t="shared" si="9"/>
        <v>26</v>
      </c>
      <c r="B37" s="235">
        <f t="shared" si="1"/>
        <v>29</v>
      </c>
      <c r="C37" s="235"/>
      <c r="D37" s="279" t="str">
        <f>INDEX(Table!E:E,MATCH(E37,Table!F:F,0))</f>
        <v>C</v>
      </c>
      <c r="E37" s="221" t="s">
        <v>275</v>
      </c>
      <c r="F37" s="233">
        <f t="shared" si="10"/>
        <v>-16.026616161616161</v>
      </c>
      <c r="G37" s="54">
        <f t="shared" si="11"/>
        <v>8</v>
      </c>
      <c r="H37" s="225">
        <v>-5.2727272727272725</v>
      </c>
      <c r="I37" s="231">
        <v>1</v>
      </c>
      <c r="J37" s="223">
        <f t="shared" si="7"/>
        <v>0</v>
      </c>
      <c r="K37" s="224"/>
      <c r="L37" s="224">
        <f>INDEX(Table!M:M,MATCH(E37,Table!F:F,0))</f>
        <v>0</v>
      </c>
      <c r="M37" s="223">
        <f t="shared" si="8"/>
        <v>0</v>
      </c>
      <c r="N37" s="225">
        <v>-7</v>
      </c>
      <c r="O37" s="226">
        <v>0</v>
      </c>
      <c r="P37" s="227"/>
      <c r="Q37" s="228">
        <v>-0.8888888888888884</v>
      </c>
      <c r="R37" s="229">
        <v>2</v>
      </c>
      <c r="S37" s="230"/>
      <c r="T37" s="225">
        <v>-1.8899999999999997</v>
      </c>
      <c r="U37" s="231">
        <v>2</v>
      </c>
      <c r="V37" s="227"/>
      <c r="W37" s="228">
        <v>1.625</v>
      </c>
      <c r="X37" s="229">
        <v>2</v>
      </c>
      <c r="Y37" s="230"/>
      <c r="Z37" s="225">
        <v>-2.5999999999999996</v>
      </c>
      <c r="AA37" s="231">
        <v>1</v>
      </c>
      <c r="AB37" s="227"/>
      <c r="AC37" s="228">
        <v>-5.2727272727272725</v>
      </c>
      <c r="AD37" s="229">
        <v>1</v>
      </c>
      <c r="AE37" s="230"/>
      <c r="AF37" s="225"/>
      <c r="AG37" s="231"/>
      <c r="AH37" s="227"/>
      <c r="AI37" s="228"/>
      <c r="AJ37" s="229"/>
      <c r="AK37" s="230"/>
      <c r="AL37" s="225"/>
      <c r="AM37" s="231"/>
      <c r="AN37" s="227"/>
      <c r="AO37" s="228"/>
      <c r="AP37" s="229"/>
      <c r="AQ37" s="230"/>
      <c r="AR37" s="225"/>
      <c r="AS37" s="231"/>
      <c r="AT37" s="227"/>
      <c r="AU37" s="228"/>
      <c r="AV37" s="229"/>
      <c r="AW37" s="230"/>
      <c r="AX37" s="225"/>
      <c r="AY37" s="231"/>
      <c r="AZ37" s="227"/>
      <c r="BA37" s="228"/>
      <c r="BB37" s="229"/>
      <c r="BC37" s="230"/>
      <c r="BD37" s="225"/>
      <c r="BE37" s="231"/>
      <c r="BF37" s="227"/>
      <c r="BG37" s="228"/>
      <c r="BH37" s="232"/>
      <c r="BI37" s="230"/>
      <c r="BJ37" s="225"/>
      <c r="BK37" s="231"/>
      <c r="BL37" s="227"/>
      <c r="BM37" s="228"/>
      <c r="BN37" s="232"/>
      <c r="BO37" s="230"/>
      <c r="BP37" s="225"/>
      <c r="BQ37" s="231"/>
      <c r="BR37" s="227"/>
      <c r="BS37" s="228"/>
      <c r="BT37" s="229"/>
      <c r="BU37" s="230"/>
      <c r="BV37" s="228">
        <f t="shared" si="12"/>
        <v>-16.026616161616161</v>
      </c>
      <c r="BW37" s="229">
        <f t="shared" si="13"/>
        <v>8</v>
      </c>
      <c r="BX37" s="230">
        <f t="shared" si="14"/>
        <v>0</v>
      </c>
      <c r="BY37" s="48"/>
      <c r="DX37" s="49"/>
      <c r="DY37" s="49"/>
      <c r="EF37" s="46"/>
      <c r="EG37" s="46"/>
    </row>
    <row r="38" spans="1:137">
      <c r="A38" s="235">
        <f t="shared" si="9"/>
        <v>50</v>
      </c>
      <c r="B38" s="235">
        <f t="shared" si="1"/>
        <v>40</v>
      </c>
      <c r="C38" s="235"/>
      <c r="D38" s="279" t="str">
        <f>INDEX(Table!E:E,MATCH(E38,Table!F:F,0))</f>
        <v>A</v>
      </c>
      <c r="E38" s="221" t="s">
        <v>266</v>
      </c>
      <c r="F38" s="233">
        <f t="shared" si="10"/>
        <v>-38.678571428571431</v>
      </c>
      <c r="G38" s="54">
        <f t="shared" si="11"/>
        <v>2</v>
      </c>
      <c r="H38" s="225">
        <v>-7</v>
      </c>
      <c r="I38" s="231">
        <v>0</v>
      </c>
      <c r="J38" s="223">
        <f t="shared" si="7"/>
        <v>0</v>
      </c>
      <c r="K38" s="224"/>
      <c r="L38" s="224">
        <f>INDEX(Table!M:M,MATCH(E38,Table!F:F,0))</f>
        <v>0</v>
      </c>
      <c r="M38" s="223">
        <f t="shared" si="8"/>
        <v>0</v>
      </c>
      <c r="N38" s="225">
        <v>-7</v>
      </c>
      <c r="O38" s="226">
        <v>0</v>
      </c>
      <c r="P38" s="227"/>
      <c r="Q38" s="228">
        <v>-7</v>
      </c>
      <c r="R38" s="229">
        <v>0</v>
      </c>
      <c r="S38" s="230"/>
      <c r="T38" s="225">
        <v>-5.4285714285714288</v>
      </c>
      <c r="U38" s="231">
        <v>1</v>
      </c>
      <c r="V38" s="227"/>
      <c r="W38" s="228">
        <v>-7</v>
      </c>
      <c r="X38" s="229">
        <v>0</v>
      </c>
      <c r="Y38" s="230"/>
      <c r="Z38" s="225">
        <v>-5.25</v>
      </c>
      <c r="AA38" s="231">
        <v>1</v>
      </c>
      <c r="AB38" s="227"/>
      <c r="AC38" s="228">
        <v>-7</v>
      </c>
      <c r="AD38" s="229">
        <v>0</v>
      </c>
      <c r="AE38" s="230"/>
      <c r="AF38" s="225"/>
      <c r="AG38" s="231"/>
      <c r="AH38" s="227"/>
      <c r="AI38" s="228"/>
      <c r="AJ38" s="229"/>
      <c r="AK38" s="230"/>
      <c r="AL38" s="225"/>
      <c r="AM38" s="231"/>
      <c r="AN38" s="227"/>
      <c r="AO38" s="228"/>
      <c r="AP38" s="229"/>
      <c r="AQ38" s="230"/>
      <c r="AR38" s="225"/>
      <c r="AS38" s="231"/>
      <c r="AT38" s="227"/>
      <c r="AU38" s="228"/>
      <c r="AV38" s="229"/>
      <c r="AW38" s="230"/>
      <c r="AX38" s="225"/>
      <c r="AY38" s="231"/>
      <c r="AZ38" s="227"/>
      <c r="BA38" s="228"/>
      <c r="BB38" s="229"/>
      <c r="BC38" s="230"/>
      <c r="BD38" s="225"/>
      <c r="BE38" s="231"/>
      <c r="BF38" s="227"/>
      <c r="BG38" s="228"/>
      <c r="BH38" s="232"/>
      <c r="BI38" s="230"/>
      <c r="BJ38" s="225"/>
      <c r="BK38" s="231"/>
      <c r="BL38" s="227"/>
      <c r="BM38" s="228"/>
      <c r="BN38" s="232"/>
      <c r="BO38" s="230"/>
      <c r="BP38" s="225"/>
      <c r="BQ38" s="231"/>
      <c r="BR38" s="227"/>
      <c r="BS38" s="228"/>
      <c r="BT38" s="229"/>
      <c r="BU38" s="230"/>
      <c r="BV38" s="228">
        <f t="shared" si="12"/>
        <v>-38.678571428571431</v>
      </c>
      <c r="BW38" s="229">
        <f t="shared" si="13"/>
        <v>2</v>
      </c>
      <c r="BX38" s="230">
        <f t="shared" si="14"/>
        <v>0</v>
      </c>
      <c r="BY38" s="48"/>
      <c r="DX38" s="49"/>
      <c r="DY38" s="49"/>
      <c r="EF38" s="46"/>
      <c r="EG38" s="46"/>
    </row>
    <row r="39" spans="1:137">
      <c r="A39" s="235">
        <f t="shared" si="9"/>
        <v>6</v>
      </c>
      <c r="B39" s="235">
        <f t="shared" si="1"/>
        <v>2</v>
      </c>
      <c r="C39" s="235"/>
      <c r="D39" s="279" t="str">
        <f>INDEX(Table!E:E,MATCH(E39,Table!F:F,0))</f>
        <v>A</v>
      </c>
      <c r="E39" s="221" t="s">
        <v>284</v>
      </c>
      <c r="F39" s="233">
        <f t="shared" si="10"/>
        <v>3.859444444444442</v>
      </c>
      <c r="G39" s="54">
        <f t="shared" si="11"/>
        <v>9</v>
      </c>
      <c r="H39" s="225">
        <v>15.625</v>
      </c>
      <c r="I39" s="231">
        <v>3</v>
      </c>
      <c r="J39" s="223">
        <f t="shared" si="7"/>
        <v>5</v>
      </c>
      <c r="K39" s="224"/>
      <c r="L39" s="224">
        <f>INDEX(Table!M:M,MATCH(E39,Table!F:F,0))</f>
        <v>78.75</v>
      </c>
      <c r="M39" s="223">
        <f t="shared" si="8"/>
        <v>83.75</v>
      </c>
      <c r="N39" s="225">
        <v>-4.75</v>
      </c>
      <c r="O39" s="226">
        <v>1</v>
      </c>
      <c r="P39" s="227"/>
      <c r="Q39" s="228">
        <v>-5.5555555555555554</v>
      </c>
      <c r="R39" s="229">
        <v>1</v>
      </c>
      <c r="S39" s="230"/>
      <c r="T39" s="225">
        <v>1.1649999999999991</v>
      </c>
      <c r="U39" s="231">
        <v>2</v>
      </c>
      <c r="V39" s="227"/>
      <c r="W39" s="228">
        <v>-7</v>
      </c>
      <c r="X39" s="229">
        <v>0</v>
      </c>
      <c r="Y39" s="230"/>
      <c r="Z39" s="225">
        <v>4.375</v>
      </c>
      <c r="AA39" s="231">
        <v>2</v>
      </c>
      <c r="AB39" s="227"/>
      <c r="AC39" s="228">
        <v>15.625</v>
      </c>
      <c r="AD39" s="229">
        <v>3</v>
      </c>
      <c r="AE39" s="230">
        <v>5</v>
      </c>
      <c r="AF39" s="225"/>
      <c r="AG39" s="231"/>
      <c r="AH39" s="227"/>
      <c r="AI39" s="228"/>
      <c r="AJ39" s="229"/>
      <c r="AK39" s="230"/>
      <c r="AL39" s="225"/>
      <c r="AM39" s="231"/>
      <c r="AN39" s="227"/>
      <c r="AO39" s="228"/>
      <c r="AP39" s="229"/>
      <c r="AQ39" s="230"/>
      <c r="AR39" s="225"/>
      <c r="AS39" s="231"/>
      <c r="AT39" s="227"/>
      <c r="AU39" s="228"/>
      <c r="AV39" s="229"/>
      <c r="AW39" s="230"/>
      <c r="AX39" s="225"/>
      <c r="AY39" s="231"/>
      <c r="AZ39" s="227"/>
      <c r="BA39" s="228"/>
      <c r="BB39" s="229"/>
      <c r="BC39" s="230"/>
      <c r="BD39" s="225"/>
      <c r="BE39" s="231"/>
      <c r="BF39" s="227"/>
      <c r="BG39" s="228"/>
      <c r="BH39" s="232"/>
      <c r="BI39" s="230"/>
      <c r="BJ39" s="225"/>
      <c r="BK39" s="231"/>
      <c r="BL39" s="227"/>
      <c r="BM39" s="228"/>
      <c r="BN39" s="232"/>
      <c r="BO39" s="230"/>
      <c r="BP39" s="225"/>
      <c r="BQ39" s="231"/>
      <c r="BR39" s="227"/>
      <c r="BS39" s="228"/>
      <c r="BT39" s="229"/>
      <c r="BU39" s="230"/>
      <c r="BV39" s="228">
        <f t="shared" si="12"/>
        <v>3.8594444444444438</v>
      </c>
      <c r="BW39" s="229">
        <f t="shared" si="13"/>
        <v>9</v>
      </c>
      <c r="BX39" s="230">
        <f t="shared" si="14"/>
        <v>5</v>
      </c>
      <c r="BY39" s="48"/>
      <c r="DX39" s="49"/>
      <c r="DY39" s="49"/>
      <c r="EF39" s="46"/>
      <c r="EG39" s="46"/>
    </row>
    <row r="40" spans="1:137">
      <c r="A40" s="235">
        <f t="shared" si="9"/>
        <v>1</v>
      </c>
      <c r="B40" s="235">
        <f t="shared" si="1"/>
        <v>1</v>
      </c>
      <c r="C40" s="235"/>
      <c r="D40" s="279" t="str">
        <f>INDEX(Table!E:E,MATCH(E40,Table!F:F,0))</f>
        <v>B</v>
      </c>
      <c r="E40" s="221" t="s">
        <v>288</v>
      </c>
      <c r="F40" s="233">
        <f t="shared" si="10"/>
        <v>36.950000000000003</v>
      </c>
      <c r="G40" s="54">
        <f t="shared" si="11"/>
        <v>11</v>
      </c>
      <c r="H40" s="225">
        <v>16.990000000000002</v>
      </c>
      <c r="I40" s="231">
        <v>3</v>
      </c>
      <c r="J40" s="223">
        <f t="shared" si="7"/>
        <v>25</v>
      </c>
      <c r="K40" s="224"/>
      <c r="L40" s="224">
        <f>INDEX(Table!M:M,MATCH(E40,Table!F:F,0))</f>
        <v>55.125</v>
      </c>
      <c r="M40" s="223">
        <f t="shared" si="8"/>
        <v>80.125</v>
      </c>
      <c r="N40" s="225">
        <v>3.0500000000000007</v>
      </c>
      <c r="O40" s="226">
        <v>2</v>
      </c>
      <c r="P40" s="227"/>
      <c r="Q40" s="228">
        <v>5.259999999999998</v>
      </c>
      <c r="R40" s="229">
        <v>2</v>
      </c>
      <c r="S40" s="230">
        <v>5</v>
      </c>
      <c r="T40" s="225">
        <v>-7</v>
      </c>
      <c r="U40" s="231">
        <v>0</v>
      </c>
      <c r="V40" s="227"/>
      <c r="W40" s="228">
        <v>6.6999999999999993</v>
      </c>
      <c r="X40" s="229">
        <v>2</v>
      </c>
      <c r="Y40" s="230">
        <v>5</v>
      </c>
      <c r="Z40" s="225">
        <v>11.95</v>
      </c>
      <c r="AA40" s="231">
        <v>2</v>
      </c>
      <c r="AB40" s="227">
        <v>5</v>
      </c>
      <c r="AC40" s="228">
        <v>16.990000000000002</v>
      </c>
      <c r="AD40" s="229">
        <v>3</v>
      </c>
      <c r="AE40" s="230">
        <v>10</v>
      </c>
      <c r="AF40" s="225"/>
      <c r="AG40" s="231"/>
      <c r="AH40" s="227"/>
      <c r="AI40" s="228"/>
      <c r="AJ40" s="229"/>
      <c r="AK40" s="230"/>
      <c r="AL40" s="225"/>
      <c r="AM40" s="231"/>
      <c r="AN40" s="227"/>
      <c r="AO40" s="228"/>
      <c r="AP40" s="229"/>
      <c r="AQ40" s="230"/>
      <c r="AR40" s="225"/>
      <c r="AS40" s="231"/>
      <c r="AT40" s="227"/>
      <c r="AU40" s="228"/>
      <c r="AV40" s="229"/>
      <c r="AW40" s="230"/>
      <c r="AX40" s="225"/>
      <c r="AY40" s="231"/>
      <c r="AZ40" s="227"/>
      <c r="BA40" s="228"/>
      <c r="BB40" s="229"/>
      <c r="BC40" s="230"/>
      <c r="BD40" s="225"/>
      <c r="BE40" s="231"/>
      <c r="BF40" s="227"/>
      <c r="BG40" s="228"/>
      <c r="BH40" s="232"/>
      <c r="BI40" s="230"/>
      <c r="BJ40" s="225"/>
      <c r="BK40" s="231"/>
      <c r="BL40" s="227"/>
      <c r="BM40" s="228"/>
      <c r="BN40" s="232"/>
      <c r="BO40" s="230"/>
      <c r="BP40" s="225"/>
      <c r="BQ40" s="231"/>
      <c r="BR40" s="227"/>
      <c r="BS40" s="228"/>
      <c r="BT40" s="229"/>
      <c r="BU40" s="230"/>
      <c r="BV40" s="228">
        <f t="shared" si="12"/>
        <v>36.950000000000003</v>
      </c>
      <c r="BW40" s="229">
        <f t="shared" si="13"/>
        <v>11</v>
      </c>
      <c r="BX40" s="230">
        <f t="shared" si="14"/>
        <v>25</v>
      </c>
      <c r="BY40" s="48"/>
      <c r="DX40" s="49"/>
      <c r="DY40" s="49"/>
      <c r="EF40" s="46"/>
      <c r="EG40" s="46"/>
    </row>
    <row r="41" spans="1:137">
      <c r="A41" s="235">
        <f t="shared" si="9"/>
        <v>3</v>
      </c>
      <c r="B41" s="235">
        <f t="shared" si="1"/>
        <v>14</v>
      </c>
      <c r="C41" s="235"/>
      <c r="D41" s="279" t="str">
        <f>INDEX(Table!E:E,MATCH(E41,Table!F:F,0))</f>
        <v>B</v>
      </c>
      <c r="E41" s="221" t="s">
        <v>297</v>
      </c>
      <c r="F41" s="233">
        <f t="shared" si="10"/>
        <v>22.785085914085911</v>
      </c>
      <c r="G41" s="54">
        <f t="shared" si="11"/>
        <v>10</v>
      </c>
      <c r="H41" s="225">
        <v>-1.4000000000000004</v>
      </c>
      <c r="I41" s="231">
        <v>2</v>
      </c>
      <c r="J41" s="223">
        <f t="shared" si="7"/>
        <v>15</v>
      </c>
      <c r="K41" s="224"/>
      <c r="L41" s="224">
        <f>INDEX(Table!M:M,MATCH(E41,Table!F:F,0))</f>
        <v>39.375</v>
      </c>
      <c r="M41" s="223">
        <f t="shared" si="8"/>
        <v>54.375</v>
      </c>
      <c r="N41" s="225">
        <v>-7</v>
      </c>
      <c r="O41" s="226">
        <v>0</v>
      </c>
      <c r="P41" s="227"/>
      <c r="Q41" s="228">
        <v>-5.384615384615385</v>
      </c>
      <c r="R41" s="229">
        <v>1</v>
      </c>
      <c r="S41" s="230"/>
      <c r="T41" s="225">
        <v>30.898701298701297</v>
      </c>
      <c r="U41" s="231">
        <v>3</v>
      </c>
      <c r="V41" s="227">
        <v>10</v>
      </c>
      <c r="W41" s="228">
        <v>10.920999999999999</v>
      </c>
      <c r="X41" s="229">
        <v>3</v>
      </c>
      <c r="Y41" s="230">
        <v>5</v>
      </c>
      <c r="Z41" s="225">
        <v>-5.25</v>
      </c>
      <c r="AA41" s="231">
        <v>1</v>
      </c>
      <c r="AB41" s="227"/>
      <c r="AC41" s="228">
        <v>-1.4000000000000004</v>
      </c>
      <c r="AD41" s="229">
        <v>2</v>
      </c>
      <c r="AE41" s="230"/>
      <c r="AF41" s="225"/>
      <c r="AG41" s="231"/>
      <c r="AH41" s="227"/>
      <c r="AI41" s="228"/>
      <c r="AJ41" s="229"/>
      <c r="AK41" s="230"/>
      <c r="AL41" s="225"/>
      <c r="AM41" s="231"/>
      <c r="AN41" s="227"/>
      <c r="AO41" s="228"/>
      <c r="AP41" s="229"/>
      <c r="AQ41" s="230"/>
      <c r="AR41" s="225"/>
      <c r="AS41" s="231"/>
      <c r="AT41" s="227"/>
      <c r="AU41" s="228"/>
      <c r="AV41" s="229"/>
      <c r="AW41" s="230"/>
      <c r="AX41" s="225"/>
      <c r="AY41" s="231"/>
      <c r="AZ41" s="227"/>
      <c r="BA41" s="228"/>
      <c r="BB41" s="229"/>
      <c r="BC41" s="230"/>
      <c r="BD41" s="225"/>
      <c r="BE41" s="231"/>
      <c r="BF41" s="227"/>
      <c r="BG41" s="228"/>
      <c r="BH41" s="232"/>
      <c r="BI41" s="230"/>
      <c r="BJ41" s="225"/>
      <c r="BK41" s="231"/>
      <c r="BL41" s="227"/>
      <c r="BM41" s="228"/>
      <c r="BN41" s="232"/>
      <c r="BO41" s="230"/>
      <c r="BP41" s="225"/>
      <c r="BQ41" s="231"/>
      <c r="BR41" s="227"/>
      <c r="BS41" s="228"/>
      <c r="BT41" s="229"/>
      <c r="BU41" s="230"/>
      <c r="BV41" s="228">
        <f t="shared" si="12"/>
        <v>22.785085914085911</v>
      </c>
      <c r="BW41" s="229">
        <f t="shared" si="13"/>
        <v>10</v>
      </c>
      <c r="BX41" s="230">
        <f t="shared" si="14"/>
        <v>15</v>
      </c>
      <c r="BY41" s="48"/>
      <c r="DX41" s="49"/>
      <c r="DY41" s="49"/>
      <c r="EF41" s="46"/>
      <c r="EG41" s="46"/>
    </row>
    <row r="42" spans="1:137">
      <c r="A42" s="235">
        <f t="shared" si="9"/>
        <v>11</v>
      </c>
      <c r="B42" s="235">
        <f t="shared" si="1"/>
        <v>35</v>
      </c>
      <c r="C42" s="235"/>
      <c r="D42" s="279" t="str">
        <f>INDEX(Table!E:E,MATCH(E42,Table!F:F,0))</f>
        <v>A</v>
      </c>
      <c r="E42" s="221" t="s">
        <v>287</v>
      </c>
      <c r="F42" s="233">
        <f t="shared" si="10"/>
        <v>-8.6989177489177489</v>
      </c>
      <c r="G42" s="54">
        <f t="shared" si="11"/>
        <v>11</v>
      </c>
      <c r="H42" s="225">
        <v>-5.6363636363636367</v>
      </c>
      <c r="I42" s="231">
        <v>1</v>
      </c>
      <c r="J42" s="223">
        <f t="shared" si="7"/>
        <v>0</v>
      </c>
      <c r="K42" s="224"/>
      <c r="L42" s="224">
        <f>INDEX(Table!M:M,MATCH(E42,Table!F:F,0))</f>
        <v>40.5</v>
      </c>
      <c r="M42" s="223">
        <f t="shared" si="8"/>
        <v>40.5</v>
      </c>
      <c r="N42" s="225">
        <v>-0.53333333333333321</v>
      </c>
      <c r="O42" s="226">
        <v>2</v>
      </c>
      <c r="P42" s="227"/>
      <c r="Q42" s="228">
        <v>-1.125</v>
      </c>
      <c r="R42" s="229">
        <v>2</v>
      </c>
      <c r="S42" s="230"/>
      <c r="T42" s="225">
        <v>1.163636363636364</v>
      </c>
      <c r="U42" s="231">
        <v>2</v>
      </c>
      <c r="V42" s="227"/>
      <c r="W42" s="228">
        <v>-1.4428571428571431</v>
      </c>
      <c r="X42" s="229">
        <v>2</v>
      </c>
      <c r="Y42" s="230"/>
      <c r="Z42" s="225">
        <v>-1.125</v>
      </c>
      <c r="AA42" s="231">
        <v>2</v>
      </c>
      <c r="AB42" s="227"/>
      <c r="AC42" s="228">
        <v>-5.6363636363636367</v>
      </c>
      <c r="AD42" s="229">
        <v>1</v>
      </c>
      <c r="AE42" s="230"/>
      <c r="AF42" s="225"/>
      <c r="AG42" s="231"/>
      <c r="AH42" s="227"/>
      <c r="AI42" s="228"/>
      <c r="AJ42" s="229"/>
      <c r="AK42" s="230"/>
      <c r="AL42" s="225"/>
      <c r="AM42" s="231"/>
      <c r="AN42" s="227"/>
      <c r="AO42" s="228"/>
      <c r="AP42" s="229"/>
      <c r="AQ42" s="230"/>
      <c r="AR42" s="225"/>
      <c r="AS42" s="231"/>
      <c r="AT42" s="227"/>
      <c r="AU42" s="228"/>
      <c r="AV42" s="229"/>
      <c r="AW42" s="230"/>
      <c r="AX42" s="225"/>
      <c r="AY42" s="231"/>
      <c r="AZ42" s="227"/>
      <c r="BA42" s="228"/>
      <c r="BB42" s="229"/>
      <c r="BC42" s="230"/>
      <c r="BD42" s="225"/>
      <c r="BE42" s="231"/>
      <c r="BF42" s="227"/>
      <c r="BG42" s="228"/>
      <c r="BH42" s="232"/>
      <c r="BI42" s="230"/>
      <c r="BJ42" s="225"/>
      <c r="BK42" s="231"/>
      <c r="BL42" s="227"/>
      <c r="BM42" s="228"/>
      <c r="BN42" s="232"/>
      <c r="BO42" s="230"/>
      <c r="BP42" s="225"/>
      <c r="BQ42" s="231"/>
      <c r="BR42" s="227"/>
      <c r="BS42" s="228"/>
      <c r="BT42" s="229"/>
      <c r="BU42" s="230"/>
      <c r="BV42" s="228">
        <f t="shared" si="12"/>
        <v>-8.6989177489177489</v>
      </c>
      <c r="BW42" s="229">
        <f t="shared" si="13"/>
        <v>11</v>
      </c>
      <c r="BX42" s="230">
        <f t="shared" si="14"/>
        <v>0</v>
      </c>
      <c r="BY42" s="48"/>
      <c r="DX42" s="49"/>
      <c r="DY42" s="49"/>
      <c r="EF42" s="46"/>
      <c r="EG42" s="46"/>
    </row>
    <row r="43" spans="1:137">
      <c r="A43" s="235">
        <f t="shared" si="9"/>
        <v>43</v>
      </c>
      <c r="B43" s="235">
        <f t="shared" si="1"/>
        <v>16</v>
      </c>
      <c r="C43" s="235"/>
      <c r="D43" s="279" t="str">
        <f>INDEX(Table!E:E,MATCH(E43,Table!F:F,0))</f>
        <v>A</v>
      </c>
      <c r="E43" s="221" t="s">
        <v>289</v>
      </c>
      <c r="F43" s="233">
        <f t="shared" si="10"/>
        <v>-27.5</v>
      </c>
      <c r="G43" s="54">
        <f t="shared" si="11"/>
        <v>6</v>
      </c>
      <c r="H43" s="225">
        <v>-1.75</v>
      </c>
      <c r="I43" s="231">
        <v>2</v>
      </c>
      <c r="J43" s="223">
        <f t="shared" si="7"/>
        <v>0</v>
      </c>
      <c r="K43" s="224"/>
      <c r="L43" s="224">
        <f>INDEX(Table!M:M,MATCH(E43,Table!F:F,0))</f>
        <v>0</v>
      </c>
      <c r="M43" s="223">
        <f t="shared" si="8"/>
        <v>0</v>
      </c>
      <c r="N43" s="225">
        <v>-3.9</v>
      </c>
      <c r="O43" s="226">
        <v>1</v>
      </c>
      <c r="P43" s="227"/>
      <c r="Q43" s="228">
        <v>-5.15</v>
      </c>
      <c r="R43" s="229">
        <v>1</v>
      </c>
      <c r="S43" s="230"/>
      <c r="T43" s="225">
        <v>-4.8499999999999996</v>
      </c>
      <c r="U43" s="231">
        <v>1</v>
      </c>
      <c r="V43" s="227"/>
      <c r="W43" s="228">
        <v>-4.8499999999999996</v>
      </c>
      <c r="X43" s="229">
        <v>1</v>
      </c>
      <c r="Y43" s="230"/>
      <c r="Z43" s="225">
        <v>-7</v>
      </c>
      <c r="AA43" s="231">
        <v>0</v>
      </c>
      <c r="AB43" s="227"/>
      <c r="AC43" s="228">
        <v>-1.75</v>
      </c>
      <c r="AD43" s="229">
        <v>2</v>
      </c>
      <c r="AE43" s="230"/>
      <c r="AF43" s="225"/>
      <c r="AG43" s="231"/>
      <c r="AH43" s="227"/>
      <c r="AI43" s="228"/>
      <c r="AJ43" s="229"/>
      <c r="AK43" s="230"/>
      <c r="AL43" s="225"/>
      <c r="AM43" s="231"/>
      <c r="AN43" s="227"/>
      <c r="AO43" s="228"/>
      <c r="AP43" s="229"/>
      <c r="AQ43" s="230"/>
      <c r="AR43" s="225"/>
      <c r="AS43" s="231"/>
      <c r="AT43" s="227"/>
      <c r="AU43" s="228"/>
      <c r="AV43" s="229"/>
      <c r="AW43" s="230"/>
      <c r="AX43" s="225"/>
      <c r="AY43" s="231"/>
      <c r="AZ43" s="227"/>
      <c r="BA43" s="228"/>
      <c r="BB43" s="229"/>
      <c r="BC43" s="230"/>
      <c r="BD43" s="225"/>
      <c r="BE43" s="231"/>
      <c r="BF43" s="227"/>
      <c r="BG43" s="228"/>
      <c r="BH43" s="232"/>
      <c r="BI43" s="230"/>
      <c r="BJ43" s="225"/>
      <c r="BK43" s="231"/>
      <c r="BL43" s="227"/>
      <c r="BM43" s="228"/>
      <c r="BN43" s="232"/>
      <c r="BO43" s="230"/>
      <c r="BP43" s="225"/>
      <c r="BQ43" s="231"/>
      <c r="BR43" s="227"/>
      <c r="BS43" s="228"/>
      <c r="BT43" s="229"/>
      <c r="BU43" s="230"/>
      <c r="BV43" s="228">
        <f t="shared" si="12"/>
        <v>-27.5</v>
      </c>
      <c r="BW43" s="229">
        <f t="shared" si="13"/>
        <v>6</v>
      </c>
      <c r="BX43" s="230">
        <f t="shared" si="14"/>
        <v>0</v>
      </c>
      <c r="BY43" s="48"/>
      <c r="DX43" s="49"/>
      <c r="DY43" s="49"/>
      <c r="EF43" s="46"/>
      <c r="EG43" s="46"/>
    </row>
    <row r="44" spans="1:137">
      <c r="A44" s="235">
        <f t="shared" si="9"/>
        <v>4</v>
      </c>
      <c r="B44" s="235">
        <f t="shared" si="1"/>
        <v>40</v>
      </c>
      <c r="C44" s="235"/>
      <c r="D44" s="279" t="str">
        <f>INDEX(Table!E:E,MATCH(E44,Table!F:F,0))</f>
        <v>C</v>
      </c>
      <c r="E44" s="221" t="s">
        <v>541</v>
      </c>
      <c r="F44" s="233">
        <f t="shared" si="10"/>
        <v>17.555000000000003</v>
      </c>
      <c r="G44" s="54">
        <f t="shared" si="11"/>
        <v>9</v>
      </c>
      <c r="H44" s="225">
        <v>-7</v>
      </c>
      <c r="I44" s="231">
        <v>0</v>
      </c>
      <c r="J44" s="223">
        <f t="shared" si="7"/>
        <v>10</v>
      </c>
      <c r="K44" s="224"/>
      <c r="L44" s="224">
        <f>INDEX(Table!M:M,MATCH(E44,Table!F:F,0))</f>
        <v>16.875</v>
      </c>
      <c r="M44" s="223">
        <f t="shared" si="8"/>
        <v>26.875</v>
      </c>
      <c r="N44" s="225">
        <v>28.592500000000001</v>
      </c>
      <c r="O44" s="226">
        <v>3</v>
      </c>
      <c r="P44" s="227">
        <v>10</v>
      </c>
      <c r="Q44" s="228">
        <v>2</v>
      </c>
      <c r="R44" s="229">
        <v>2</v>
      </c>
      <c r="S44" s="230"/>
      <c r="T44" s="225">
        <v>-3.9</v>
      </c>
      <c r="U44" s="231">
        <v>1</v>
      </c>
      <c r="V44" s="227"/>
      <c r="W44" s="228">
        <v>2.2375000000000007</v>
      </c>
      <c r="X44" s="229">
        <v>2</v>
      </c>
      <c r="Y44" s="230"/>
      <c r="Z44" s="225">
        <v>-4.375</v>
      </c>
      <c r="AA44" s="231">
        <v>1</v>
      </c>
      <c r="AB44" s="227"/>
      <c r="AC44" s="228">
        <v>-7</v>
      </c>
      <c r="AD44" s="229">
        <v>0</v>
      </c>
      <c r="AE44" s="230"/>
      <c r="AF44" s="225"/>
      <c r="AG44" s="231"/>
      <c r="AH44" s="227"/>
      <c r="AI44" s="228"/>
      <c r="AJ44" s="229"/>
      <c r="AK44" s="230"/>
      <c r="AL44" s="225"/>
      <c r="AM44" s="231"/>
      <c r="AN44" s="227"/>
      <c r="AO44" s="228"/>
      <c r="AP44" s="229"/>
      <c r="AQ44" s="230"/>
      <c r="AR44" s="225"/>
      <c r="AS44" s="231"/>
      <c r="AT44" s="227"/>
      <c r="AU44" s="228"/>
      <c r="AV44" s="229"/>
      <c r="AW44" s="230"/>
      <c r="AX44" s="225"/>
      <c r="AY44" s="231"/>
      <c r="AZ44" s="227"/>
      <c r="BA44" s="228"/>
      <c r="BB44" s="229"/>
      <c r="BC44" s="230"/>
      <c r="BD44" s="225"/>
      <c r="BE44" s="231"/>
      <c r="BF44" s="227"/>
      <c r="BG44" s="228"/>
      <c r="BH44" s="232"/>
      <c r="BI44" s="230"/>
      <c r="BJ44" s="225"/>
      <c r="BK44" s="231"/>
      <c r="BL44" s="227"/>
      <c r="BM44" s="228"/>
      <c r="BN44" s="232"/>
      <c r="BO44" s="230"/>
      <c r="BP44" s="225"/>
      <c r="BQ44" s="231"/>
      <c r="BR44" s="227"/>
      <c r="BS44" s="228"/>
      <c r="BT44" s="229"/>
      <c r="BU44" s="230"/>
      <c r="BV44" s="228">
        <f t="shared" si="12"/>
        <v>17.555</v>
      </c>
      <c r="BW44" s="229">
        <f t="shared" si="13"/>
        <v>9</v>
      </c>
      <c r="BX44" s="230">
        <f t="shared" si="14"/>
        <v>10</v>
      </c>
      <c r="BY44" s="48"/>
      <c r="DX44" s="49"/>
      <c r="DY44" s="49"/>
      <c r="EF44" s="46"/>
      <c r="EG44" s="46"/>
    </row>
    <row r="45" spans="1:137">
      <c r="A45" s="235">
        <f t="shared" si="9"/>
        <v>36</v>
      </c>
      <c r="B45" s="235">
        <f t="shared" si="1"/>
        <v>23</v>
      </c>
      <c r="C45" s="235"/>
      <c r="D45" s="279" t="str">
        <f>INDEX(Table!E:E,MATCH(E45,Table!F:F,0))</f>
        <v>C</v>
      </c>
      <c r="E45" s="221" t="s">
        <v>534</v>
      </c>
      <c r="F45" s="233">
        <f t="shared" si="10"/>
        <v>-23.989305139305142</v>
      </c>
      <c r="G45" s="54">
        <f t="shared" si="11"/>
        <v>7</v>
      </c>
      <c r="H45" s="225">
        <v>-4.8</v>
      </c>
      <c r="I45" s="231">
        <v>1</v>
      </c>
      <c r="J45" s="223">
        <f t="shared" si="7"/>
        <v>0</v>
      </c>
      <c r="K45" s="224"/>
      <c r="L45" s="224">
        <f>INDEX(Table!M:M,MATCH(E45,Table!F:F,0))</f>
        <v>0</v>
      </c>
      <c r="M45" s="223">
        <f t="shared" si="8"/>
        <v>0</v>
      </c>
      <c r="N45" s="225">
        <v>-5.8181818181818183</v>
      </c>
      <c r="O45" s="226">
        <v>1</v>
      </c>
      <c r="P45" s="227"/>
      <c r="Q45" s="228">
        <v>-1.6068376068376065</v>
      </c>
      <c r="R45" s="229">
        <v>2</v>
      </c>
      <c r="S45" s="230"/>
      <c r="T45" s="225">
        <v>-7</v>
      </c>
      <c r="U45" s="231">
        <v>0</v>
      </c>
      <c r="V45" s="227"/>
      <c r="W45" s="228">
        <v>-5.25</v>
      </c>
      <c r="X45" s="229">
        <v>1</v>
      </c>
      <c r="Y45" s="230"/>
      <c r="Z45" s="225">
        <v>0.48571428571428488</v>
      </c>
      <c r="AA45" s="231">
        <v>2</v>
      </c>
      <c r="AB45" s="227"/>
      <c r="AC45" s="228">
        <v>-4.8</v>
      </c>
      <c r="AD45" s="229">
        <v>1</v>
      </c>
      <c r="AE45" s="230"/>
      <c r="AF45" s="225"/>
      <c r="AG45" s="231"/>
      <c r="AH45" s="227"/>
      <c r="AI45" s="228"/>
      <c r="AJ45" s="229"/>
      <c r="AK45" s="230"/>
      <c r="AL45" s="225"/>
      <c r="AM45" s="231"/>
      <c r="AN45" s="227"/>
      <c r="AO45" s="228"/>
      <c r="AP45" s="229"/>
      <c r="AQ45" s="230"/>
      <c r="AR45" s="225"/>
      <c r="AS45" s="231"/>
      <c r="AT45" s="227"/>
      <c r="AU45" s="228"/>
      <c r="AV45" s="229"/>
      <c r="AW45" s="230"/>
      <c r="AX45" s="225"/>
      <c r="AY45" s="231"/>
      <c r="AZ45" s="227"/>
      <c r="BA45" s="228"/>
      <c r="BB45" s="229"/>
      <c r="BC45" s="230"/>
      <c r="BD45" s="225"/>
      <c r="BE45" s="231"/>
      <c r="BF45" s="227"/>
      <c r="BG45" s="228"/>
      <c r="BH45" s="232"/>
      <c r="BI45" s="230"/>
      <c r="BJ45" s="225"/>
      <c r="BK45" s="231"/>
      <c r="BL45" s="227"/>
      <c r="BM45" s="228"/>
      <c r="BN45" s="232"/>
      <c r="BO45" s="230"/>
      <c r="BP45" s="225"/>
      <c r="BQ45" s="231"/>
      <c r="BR45" s="227"/>
      <c r="BS45" s="228"/>
      <c r="BT45" s="229"/>
      <c r="BU45" s="230"/>
      <c r="BV45" s="228">
        <f t="shared" si="12"/>
        <v>-23.989305139305145</v>
      </c>
      <c r="BW45" s="229">
        <f t="shared" si="13"/>
        <v>7</v>
      </c>
      <c r="BX45" s="230">
        <f t="shared" si="14"/>
        <v>0</v>
      </c>
      <c r="BY45" s="48"/>
      <c r="DX45" s="49"/>
      <c r="DY45" s="49"/>
      <c r="EF45" s="46"/>
      <c r="EG45" s="46"/>
    </row>
    <row r="46" spans="1:137">
      <c r="A46" s="235">
        <f t="shared" ref="A46" si="15">_xlfn.RANK.EQ(F46,totalscores,0)</f>
        <v>25</v>
      </c>
      <c r="B46" s="235">
        <f t="shared" ref="B46" si="16">_xlfn.RANK.EQ(H46,thisweekscore,0)</f>
        <v>29</v>
      </c>
      <c r="C46" s="235"/>
      <c r="D46" s="279" t="str">
        <f>INDEX(Table!E:E,MATCH(E46,Table!F:F,0))</f>
        <v>B</v>
      </c>
      <c r="E46" s="221" t="s">
        <v>267</v>
      </c>
      <c r="F46" s="233">
        <f t="shared" ref="F46" si="17">+N46+Q46+T46+W46+Z46+AC46+AF46+AI46+AL46+AO46+AR46+AU46+AX46+BA46+BD46+BG46+BJ46+BM46+BP46+BS46</f>
        <v>-15.702727272727273</v>
      </c>
      <c r="G46" s="54">
        <f t="shared" ref="G46" si="18">+O46+R46+U46+X46+AA46+AD46+AG46+AJ46+AM46+AP46+AS46+AV46+AY46+BB46+BE46+BH46+BK46+BN46+BQ46+BT46</f>
        <v>6</v>
      </c>
      <c r="H46" s="225">
        <v>-5.2727272727272725</v>
      </c>
      <c r="I46" s="231">
        <v>1</v>
      </c>
      <c r="J46" s="223">
        <f t="shared" ref="J46" si="19">P46+S46+V46+Y46+AB46+AE46+AH46+AK46+AN46+AQ46+AT46+AW46+AZ46+BC46+BF46+BI46+BL46+BO46+BR46+BU46</f>
        <v>5</v>
      </c>
      <c r="K46" s="224"/>
      <c r="L46" s="224">
        <f>INDEX(Table!M:M,MATCH(E46,Table!F:F,0))</f>
        <v>0</v>
      </c>
      <c r="M46" s="223">
        <f t="shared" ref="M46" si="20">K46+J46+L46</f>
        <v>5</v>
      </c>
      <c r="N46" s="225">
        <v>-4.8499999999999996</v>
      </c>
      <c r="O46" s="226">
        <v>1</v>
      </c>
      <c r="P46" s="227"/>
      <c r="Q46" s="228">
        <v>2.5600000000000005</v>
      </c>
      <c r="R46" s="229">
        <v>2</v>
      </c>
      <c r="S46" s="230"/>
      <c r="T46" s="225">
        <v>-7</v>
      </c>
      <c r="U46" s="231">
        <v>0</v>
      </c>
      <c r="V46" s="227"/>
      <c r="W46" s="228">
        <v>5.8599999999999994</v>
      </c>
      <c r="X46" s="229">
        <v>2</v>
      </c>
      <c r="Y46" s="230">
        <v>5</v>
      </c>
      <c r="Z46" s="225">
        <v>-7</v>
      </c>
      <c r="AA46" s="231">
        <v>0</v>
      </c>
      <c r="AB46" s="227"/>
      <c r="AC46" s="228">
        <v>-5.2727272727272725</v>
      </c>
      <c r="AD46" s="229">
        <v>1</v>
      </c>
      <c r="AE46" s="230"/>
      <c r="AF46" s="225"/>
      <c r="AG46" s="231"/>
      <c r="AH46" s="227"/>
      <c r="AI46" s="228"/>
      <c r="AJ46" s="229"/>
      <c r="AK46" s="230"/>
      <c r="AL46" s="225"/>
      <c r="AM46" s="231"/>
      <c r="AN46" s="227"/>
      <c r="AO46" s="228"/>
      <c r="AP46" s="229"/>
      <c r="AQ46" s="230"/>
      <c r="AR46" s="225"/>
      <c r="AS46" s="231"/>
      <c r="AT46" s="227"/>
      <c r="AU46" s="228"/>
      <c r="AV46" s="229"/>
      <c r="AW46" s="230"/>
      <c r="AX46" s="225"/>
      <c r="AY46" s="231"/>
      <c r="AZ46" s="227"/>
      <c r="BA46" s="228"/>
      <c r="BB46" s="229"/>
      <c r="BC46" s="230"/>
      <c r="BD46" s="225"/>
      <c r="BE46" s="231"/>
      <c r="BF46" s="227"/>
      <c r="BG46" s="228"/>
      <c r="BH46" s="232"/>
      <c r="BI46" s="230"/>
      <c r="BJ46" s="225"/>
      <c r="BK46" s="231"/>
      <c r="BL46" s="227"/>
      <c r="BM46" s="228"/>
      <c r="BN46" s="232"/>
      <c r="BO46" s="230"/>
      <c r="BP46" s="225"/>
      <c r="BQ46" s="231"/>
      <c r="BR46" s="227"/>
      <c r="BS46" s="228"/>
      <c r="BT46" s="229"/>
      <c r="BU46" s="230"/>
      <c r="BV46" s="228">
        <f t="shared" ref="BV46" si="21">BS46+BP46+BM46+BJ46+BG46+BD46+BA46+AX46+AU46+AR46+AO46+AL46+AI46+AF46+AC46+Z46+W46+T46+Q46+N46</f>
        <v>-15.702727272727273</v>
      </c>
      <c r="BW46" s="229">
        <f t="shared" ref="BW46" si="22">BT46+BQ46+BN46+BK46+BH46+BE46+BB46+AY46+AV46+AS46+AP46+AM46+AJ46+AG46+AD46+AA46+X46+U46+R46+O46</f>
        <v>6</v>
      </c>
      <c r="BX46" s="230">
        <f t="shared" ref="BX46" si="23">BU46+BR46+BO46+BL46+BI46+BF46+BC46+AZ46+AW46+AT46+AQ46+AN46+AK46+AH46+AE46+AB46+Y46+V46+S46+P46</f>
        <v>5</v>
      </c>
      <c r="BY46" s="48"/>
      <c r="DX46" s="49"/>
      <c r="DY46" s="49"/>
      <c r="EF46" s="46"/>
      <c r="EG46" s="46"/>
    </row>
    <row r="47" spans="1:137">
      <c r="A47" s="235">
        <f t="shared" ref="A47" si="24">_xlfn.RANK.EQ(F47,totalscores,0)</f>
        <v>24</v>
      </c>
      <c r="B47" s="235">
        <f t="shared" ref="B47" si="25">_xlfn.RANK.EQ(H47,thisweekscore,0)</f>
        <v>9</v>
      </c>
      <c r="C47" s="235"/>
      <c r="D47" s="279" t="str">
        <f>INDEX(Table!E:E,MATCH(E47,Table!F:F,0))</f>
        <v>A</v>
      </c>
      <c r="E47" s="221" t="s">
        <v>269</v>
      </c>
      <c r="F47" s="233">
        <f t="shared" ref="F47" si="26">+N47+Q47+T47+W47+Z47+AC47+AF47+AI47+AL47+AO47+AR47+AU47+AX47+BA47+BD47+BG47+BJ47+BM47+BP47+BS47</f>
        <v>-15.678888888888888</v>
      </c>
      <c r="G47" s="54">
        <f t="shared" ref="G47" si="27">+O47+R47+U47+X47+AA47+AD47+AG47+AJ47+AM47+AP47+AS47+AV47+AY47+BB47+BE47+BH47+BK47+BN47+BQ47+BT47</f>
        <v>8</v>
      </c>
      <c r="H47" s="225">
        <v>2.7100000000000009</v>
      </c>
      <c r="I47" s="231">
        <v>2</v>
      </c>
      <c r="J47" s="223">
        <f t="shared" ref="J47" si="28">P47+S47+V47+Y47+AB47+AE47+AH47+AK47+AN47+AQ47+AT47+AW47+AZ47+BC47+BF47+BI47+BL47+BO47+BR47+BU47</f>
        <v>0</v>
      </c>
      <c r="K47" s="224"/>
      <c r="L47" s="224">
        <f>INDEX(Table!M:M,MATCH(E47,Table!F:F,0))</f>
        <v>0</v>
      </c>
      <c r="M47" s="223">
        <f t="shared" ref="M47" si="29">K47+J47+L47</f>
        <v>0</v>
      </c>
      <c r="N47" s="225">
        <v>-4.8499999999999996</v>
      </c>
      <c r="O47" s="226">
        <v>1</v>
      </c>
      <c r="P47" s="227"/>
      <c r="Q47" s="228">
        <v>-0.8888888888888884</v>
      </c>
      <c r="R47" s="229">
        <v>2</v>
      </c>
      <c r="S47" s="230"/>
      <c r="T47" s="225">
        <v>-2.8</v>
      </c>
      <c r="U47" s="231">
        <v>1</v>
      </c>
      <c r="V47" s="227"/>
      <c r="W47" s="228">
        <v>-4.9000000000000004</v>
      </c>
      <c r="X47" s="229">
        <v>1</v>
      </c>
      <c r="Y47" s="230"/>
      <c r="Z47" s="225">
        <v>-4.95</v>
      </c>
      <c r="AA47" s="231">
        <v>1</v>
      </c>
      <c r="AB47" s="227"/>
      <c r="AC47" s="228">
        <v>2.7100000000000009</v>
      </c>
      <c r="AD47" s="229">
        <v>2</v>
      </c>
      <c r="AE47" s="230"/>
      <c r="AF47" s="225"/>
      <c r="AG47" s="231"/>
      <c r="AH47" s="227"/>
      <c r="AI47" s="228"/>
      <c r="AJ47" s="229"/>
      <c r="AK47" s="230"/>
      <c r="AL47" s="225"/>
      <c r="AM47" s="231"/>
      <c r="AN47" s="227"/>
      <c r="AO47" s="228"/>
      <c r="AP47" s="229"/>
      <c r="AQ47" s="230"/>
      <c r="AR47" s="225"/>
      <c r="AS47" s="231"/>
      <c r="AT47" s="227"/>
      <c r="AU47" s="228"/>
      <c r="AV47" s="229"/>
      <c r="AW47" s="230"/>
      <c r="AX47" s="225"/>
      <c r="AY47" s="231"/>
      <c r="AZ47" s="227"/>
      <c r="BA47" s="228"/>
      <c r="BB47" s="229"/>
      <c r="BC47" s="230"/>
      <c r="BD47" s="225"/>
      <c r="BE47" s="231"/>
      <c r="BF47" s="227"/>
      <c r="BG47" s="228"/>
      <c r="BH47" s="232"/>
      <c r="BI47" s="230"/>
      <c r="BJ47" s="225"/>
      <c r="BK47" s="231"/>
      <c r="BL47" s="227"/>
      <c r="BM47" s="228"/>
      <c r="BN47" s="232"/>
      <c r="BO47" s="230"/>
      <c r="BP47" s="225"/>
      <c r="BQ47" s="231"/>
      <c r="BR47" s="227"/>
      <c r="BS47" s="228"/>
      <c r="BT47" s="229"/>
      <c r="BU47" s="230"/>
      <c r="BV47" s="228">
        <f t="shared" ref="BV47" si="30">BS47+BP47+BM47+BJ47+BG47+BD47+BA47+AX47+AU47+AR47+AO47+AL47+AI47+AF47+AC47+Z47+W47+T47+Q47+N47</f>
        <v>-15.678888888888887</v>
      </c>
      <c r="BW47" s="229">
        <f t="shared" ref="BW47" si="31">BT47+BQ47+BN47+BK47+BH47+BE47+BB47+AY47+AV47+AS47+AP47+AM47+AJ47+AG47+AD47+AA47+X47+U47+R47+O47</f>
        <v>8</v>
      </c>
      <c r="BX47" s="230">
        <f t="shared" ref="BX47" si="32">BU47+BR47+BO47+BL47+BI47+BF47+BC47+AZ47+AW47+AT47+AQ47+AN47+AK47+AH47+AE47+AB47+Y47+V47+S47+P47</f>
        <v>0</v>
      </c>
      <c r="BY47" s="48"/>
      <c r="DX47" s="49"/>
      <c r="DY47" s="49"/>
      <c r="EF47" s="46"/>
      <c r="EG47" s="46"/>
    </row>
    <row r="48" spans="1:137">
      <c r="A48" s="235">
        <f t="shared" ref="A48:A51" si="33">_xlfn.RANK.EQ(F48,totalscores,0)</f>
        <v>2</v>
      </c>
      <c r="B48" s="235">
        <f t="shared" ref="B48:B51" si="34">_xlfn.RANK.EQ(H48,thisweekscore,0)</f>
        <v>35</v>
      </c>
      <c r="C48" s="235"/>
      <c r="D48" s="279" t="str">
        <f>INDEX(Table!E:E,MATCH(E48,Table!F:F,0))</f>
        <v>C</v>
      </c>
      <c r="E48" s="221" t="s">
        <v>512</v>
      </c>
      <c r="F48" s="233">
        <f t="shared" ref="F48:F51" si="35">+N48+Q48+T48+W48+Z48+AC48+AF48+AI48+AL48+AO48+AR48+AU48+AX48+BA48+BD48+BG48+BJ48+BM48+BP48+BS48</f>
        <v>32.941796085858584</v>
      </c>
      <c r="G48" s="54">
        <f t="shared" ref="G48:G51" si="36">+O48+R48+U48+X48+AA48+AD48+AG48+AJ48+AM48+AP48+AS48+AV48+AY48+BB48+BE48+BH48+BK48+BN48+BQ48+BT48</f>
        <v>12</v>
      </c>
      <c r="H48" s="225">
        <v>-5.6363636363636367</v>
      </c>
      <c r="I48" s="231">
        <v>1</v>
      </c>
      <c r="J48" s="223">
        <f t="shared" ref="J48:J51" si="37">P48+S48+V48+Y48+AB48+AE48+AH48+AK48+AN48+AQ48+AT48+AW48+AZ48+BC48+BF48+BI48+BL48+BO48+BR48+BU48</f>
        <v>20</v>
      </c>
      <c r="K48" s="224"/>
      <c r="L48" s="224">
        <f>INDEX(Table!M:M,MATCH(E48,Table!F:F,0))</f>
        <v>23.625</v>
      </c>
      <c r="M48" s="223">
        <f t="shared" ref="M48:M51" si="38">K48+J48+L48</f>
        <v>43.625</v>
      </c>
      <c r="N48" s="225">
        <v>-0.17777777777777715</v>
      </c>
      <c r="O48" s="226">
        <v>2</v>
      </c>
      <c r="P48" s="227"/>
      <c r="Q48" s="228">
        <v>2.5600000000000005</v>
      </c>
      <c r="R48" s="229">
        <v>2</v>
      </c>
      <c r="S48" s="230"/>
      <c r="T48" s="225">
        <v>8.120000000000001</v>
      </c>
      <c r="U48" s="231">
        <v>2</v>
      </c>
      <c r="V48" s="227">
        <v>5</v>
      </c>
      <c r="W48" s="228">
        <v>23.125937499999999</v>
      </c>
      <c r="X48" s="229">
        <v>3</v>
      </c>
      <c r="Y48" s="230">
        <v>10</v>
      </c>
      <c r="Z48" s="225">
        <v>4.9499999999999993</v>
      </c>
      <c r="AA48" s="231">
        <v>2</v>
      </c>
      <c r="AB48" s="227">
        <v>5</v>
      </c>
      <c r="AC48" s="228">
        <v>-5.6363636363636367</v>
      </c>
      <c r="AD48" s="229">
        <v>1</v>
      </c>
      <c r="AE48" s="230"/>
      <c r="AF48" s="225"/>
      <c r="AG48" s="231"/>
      <c r="AH48" s="227"/>
      <c r="AI48" s="228"/>
      <c r="AJ48" s="229"/>
      <c r="AK48" s="230"/>
      <c r="AL48" s="225"/>
      <c r="AM48" s="231"/>
      <c r="AN48" s="227"/>
      <c r="AO48" s="228"/>
      <c r="AP48" s="229"/>
      <c r="AQ48" s="230"/>
      <c r="AR48" s="225"/>
      <c r="AS48" s="231"/>
      <c r="AT48" s="227"/>
      <c r="AU48" s="228"/>
      <c r="AV48" s="229"/>
      <c r="AW48" s="230"/>
      <c r="AX48" s="225"/>
      <c r="AY48" s="231"/>
      <c r="AZ48" s="227"/>
      <c r="BA48" s="228"/>
      <c r="BB48" s="229"/>
      <c r="BC48" s="230"/>
      <c r="BD48" s="225"/>
      <c r="BE48" s="231"/>
      <c r="BF48" s="227"/>
      <c r="BG48" s="228"/>
      <c r="BH48" s="232"/>
      <c r="BI48" s="230"/>
      <c r="BJ48" s="225"/>
      <c r="BK48" s="231"/>
      <c r="BL48" s="227"/>
      <c r="BM48" s="228"/>
      <c r="BN48" s="232"/>
      <c r="BO48" s="230"/>
      <c r="BP48" s="225"/>
      <c r="BQ48" s="231"/>
      <c r="BR48" s="227"/>
      <c r="BS48" s="228"/>
      <c r="BT48" s="229"/>
      <c r="BU48" s="230"/>
      <c r="BV48" s="228">
        <f t="shared" ref="BV48:BV51" si="39">BS48+BP48+BM48+BJ48+BG48+BD48+BA48+AX48+AU48+AR48+AO48+AL48+AI48+AF48+AC48+Z48+W48+T48+Q48+N48</f>
        <v>32.941796085858584</v>
      </c>
      <c r="BW48" s="229">
        <f t="shared" ref="BW48:BW51" si="40">BT48+BQ48+BN48+BK48+BH48+BE48+BB48+AY48+AV48+AS48+AP48+AM48+AJ48+AG48+AD48+AA48+X48+U48+R48+O48</f>
        <v>12</v>
      </c>
      <c r="BX48" s="230">
        <f t="shared" ref="BX48:BX51" si="41">BU48+BR48+BO48+BL48+BI48+BF48+BC48+AZ48+AW48+AT48+AQ48+AN48+AK48+AH48+AE48+AB48+Y48+V48+S48+P48</f>
        <v>20</v>
      </c>
      <c r="BY48" s="48"/>
      <c r="DX48" s="49"/>
      <c r="DY48" s="49"/>
      <c r="EF48" s="46"/>
      <c r="EG48" s="46"/>
    </row>
    <row r="49" spans="1:137">
      <c r="A49" s="235">
        <f t="shared" si="33"/>
        <v>27</v>
      </c>
      <c r="B49" s="235">
        <f t="shared" si="34"/>
        <v>13</v>
      </c>
      <c r="C49" s="235"/>
      <c r="D49" s="279" t="str">
        <f>INDEX(Table!E:E,MATCH(E49,Table!F:F,0))</f>
        <v>C</v>
      </c>
      <c r="E49" s="221" t="s">
        <v>536</v>
      </c>
      <c r="F49" s="233">
        <f t="shared" si="35"/>
        <v>-16.119318181818183</v>
      </c>
      <c r="G49" s="54">
        <f t="shared" si="36"/>
        <v>8</v>
      </c>
      <c r="H49" s="225">
        <v>-0.875</v>
      </c>
      <c r="I49" s="231">
        <v>2</v>
      </c>
      <c r="J49" s="223">
        <f t="shared" si="37"/>
        <v>0</v>
      </c>
      <c r="K49" s="224"/>
      <c r="L49" s="224">
        <f>INDEX(Table!M:M,MATCH(E49,Table!F:F,0))</f>
        <v>0</v>
      </c>
      <c r="M49" s="223">
        <f t="shared" si="38"/>
        <v>0</v>
      </c>
      <c r="N49" s="225">
        <v>-2.1818181818181817</v>
      </c>
      <c r="O49" s="226">
        <v>2</v>
      </c>
      <c r="P49" s="227"/>
      <c r="Q49" s="228">
        <v>3.1374999999999993</v>
      </c>
      <c r="R49" s="229">
        <v>2</v>
      </c>
      <c r="S49" s="230"/>
      <c r="T49" s="225">
        <v>-7</v>
      </c>
      <c r="U49" s="231">
        <v>0</v>
      </c>
      <c r="V49" s="227"/>
      <c r="W49" s="228">
        <v>-4.5</v>
      </c>
      <c r="X49" s="229">
        <v>1</v>
      </c>
      <c r="Y49" s="230"/>
      <c r="Z49" s="225">
        <v>-4.7</v>
      </c>
      <c r="AA49" s="231">
        <v>1</v>
      </c>
      <c r="AB49" s="227"/>
      <c r="AC49" s="228">
        <v>-0.875</v>
      </c>
      <c r="AD49" s="229">
        <v>2</v>
      </c>
      <c r="AE49" s="230"/>
      <c r="AF49" s="225"/>
      <c r="AG49" s="231"/>
      <c r="AH49" s="227"/>
      <c r="AI49" s="228"/>
      <c r="AJ49" s="229"/>
      <c r="AK49" s="230"/>
      <c r="AL49" s="225"/>
      <c r="AM49" s="231"/>
      <c r="AN49" s="227"/>
      <c r="AO49" s="228"/>
      <c r="AP49" s="229"/>
      <c r="AQ49" s="230"/>
      <c r="AR49" s="225"/>
      <c r="AS49" s="231"/>
      <c r="AT49" s="227"/>
      <c r="AU49" s="228"/>
      <c r="AV49" s="229"/>
      <c r="AW49" s="230"/>
      <c r="AX49" s="225"/>
      <c r="AY49" s="231"/>
      <c r="AZ49" s="227"/>
      <c r="BA49" s="228"/>
      <c r="BB49" s="229"/>
      <c r="BC49" s="230"/>
      <c r="BD49" s="225"/>
      <c r="BE49" s="231"/>
      <c r="BF49" s="227"/>
      <c r="BG49" s="228"/>
      <c r="BH49" s="232"/>
      <c r="BI49" s="230"/>
      <c r="BJ49" s="225"/>
      <c r="BK49" s="231"/>
      <c r="BL49" s="227"/>
      <c r="BM49" s="228"/>
      <c r="BN49" s="232"/>
      <c r="BO49" s="230"/>
      <c r="BP49" s="225"/>
      <c r="BQ49" s="231"/>
      <c r="BR49" s="227"/>
      <c r="BS49" s="228"/>
      <c r="BT49" s="229"/>
      <c r="BU49" s="230"/>
      <c r="BV49" s="228">
        <f t="shared" si="39"/>
        <v>-16.11931818181818</v>
      </c>
      <c r="BW49" s="229">
        <f t="shared" si="40"/>
        <v>8</v>
      </c>
      <c r="BX49" s="230">
        <f t="shared" si="41"/>
        <v>0</v>
      </c>
      <c r="BY49" s="48"/>
      <c r="DX49" s="49"/>
      <c r="DY49" s="49"/>
      <c r="EF49" s="46"/>
      <c r="EG49" s="46"/>
    </row>
    <row r="50" spans="1:137">
      <c r="A50" s="235">
        <f t="shared" si="33"/>
        <v>20</v>
      </c>
      <c r="B50" s="235">
        <f t="shared" si="34"/>
        <v>10</v>
      </c>
      <c r="C50" s="235"/>
      <c r="D50" s="279" t="str">
        <f>INDEX(Table!E:E,MATCH(E50,Table!F:F,0))</f>
        <v>B</v>
      </c>
      <c r="E50" s="221" t="s">
        <v>304</v>
      </c>
      <c r="F50" s="233">
        <f t="shared" si="35"/>
        <v>-14.828409090909091</v>
      </c>
      <c r="G50" s="54">
        <f t="shared" si="36"/>
        <v>8</v>
      </c>
      <c r="H50" s="225">
        <v>2.25</v>
      </c>
      <c r="I50" s="231">
        <v>2</v>
      </c>
      <c r="J50" s="223">
        <f t="shared" si="37"/>
        <v>0</v>
      </c>
      <c r="K50" s="224"/>
      <c r="L50" s="224">
        <f>INDEX(Table!M:M,MATCH(E50,Table!F:F,0))</f>
        <v>0</v>
      </c>
      <c r="M50" s="223">
        <f t="shared" si="38"/>
        <v>0</v>
      </c>
      <c r="N50" s="225">
        <v>-3.6</v>
      </c>
      <c r="O50" s="226">
        <v>1</v>
      </c>
      <c r="P50" s="227"/>
      <c r="Q50" s="228">
        <v>-5.0909090909090908</v>
      </c>
      <c r="R50" s="229">
        <v>1</v>
      </c>
      <c r="S50" s="230"/>
      <c r="T50" s="225">
        <v>-2.8</v>
      </c>
      <c r="U50" s="231">
        <v>1</v>
      </c>
      <c r="V50" s="227"/>
      <c r="W50" s="228">
        <v>-5.15</v>
      </c>
      <c r="X50" s="229">
        <v>1</v>
      </c>
      <c r="Y50" s="230"/>
      <c r="Z50" s="225">
        <v>-0.4375</v>
      </c>
      <c r="AA50" s="231">
        <v>2</v>
      </c>
      <c r="AB50" s="227"/>
      <c r="AC50" s="228">
        <v>2.25</v>
      </c>
      <c r="AD50" s="229">
        <v>2</v>
      </c>
      <c r="AE50" s="230"/>
      <c r="AF50" s="225"/>
      <c r="AG50" s="231"/>
      <c r="AH50" s="227"/>
      <c r="AI50" s="228"/>
      <c r="AJ50" s="229"/>
      <c r="AK50" s="230"/>
      <c r="AL50" s="225"/>
      <c r="AM50" s="231"/>
      <c r="AN50" s="227"/>
      <c r="AO50" s="228"/>
      <c r="AP50" s="229"/>
      <c r="AQ50" s="230"/>
      <c r="AR50" s="225"/>
      <c r="AS50" s="231"/>
      <c r="AT50" s="227"/>
      <c r="AU50" s="228"/>
      <c r="AV50" s="229"/>
      <c r="AW50" s="230"/>
      <c r="AX50" s="225"/>
      <c r="AY50" s="231"/>
      <c r="AZ50" s="227"/>
      <c r="BA50" s="228"/>
      <c r="BB50" s="229"/>
      <c r="BC50" s="230"/>
      <c r="BD50" s="225"/>
      <c r="BE50" s="231"/>
      <c r="BF50" s="227"/>
      <c r="BG50" s="228"/>
      <c r="BH50" s="232"/>
      <c r="BI50" s="230"/>
      <c r="BJ50" s="225"/>
      <c r="BK50" s="231"/>
      <c r="BL50" s="227"/>
      <c r="BM50" s="228"/>
      <c r="BN50" s="232"/>
      <c r="BO50" s="230"/>
      <c r="BP50" s="225"/>
      <c r="BQ50" s="231"/>
      <c r="BR50" s="227"/>
      <c r="BS50" s="228"/>
      <c r="BT50" s="229"/>
      <c r="BU50" s="230"/>
      <c r="BV50" s="228">
        <f t="shared" si="39"/>
        <v>-14.828409090909091</v>
      </c>
      <c r="BW50" s="229">
        <f t="shared" si="40"/>
        <v>8</v>
      </c>
      <c r="BX50" s="230">
        <f t="shared" si="41"/>
        <v>0</v>
      </c>
      <c r="BY50" s="48"/>
      <c r="DX50" s="49"/>
      <c r="DY50" s="49"/>
      <c r="EF50" s="46"/>
      <c r="EG50" s="46"/>
    </row>
    <row r="51" spans="1:137">
      <c r="A51" s="235">
        <f t="shared" si="33"/>
        <v>16</v>
      </c>
      <c r="B51" s="235">
        <f t="shared" si="34"/>
        <v>29</v>
      </c>
      <c r="C51" s="235"/>
      <c r="D51" s="279" t="str">
        <f>INDEX(Table!E:E,MATCH(E51,Table!F:F,0))</f>
        <v>B</v>
      </c>
      <c r="E51" s="221" t="s">
        <v>283</v>
      </c>
      <c r="F51" s="233">
        <f t="shared" si="35"/>
        <v>-11.387727272727272</v>
      </c>
      <c r="G51" s="54">
        <f t="shared" si="36"/>
        <v>7</v>
      </c>
      <c r="H51" s="225">
        <v>-5.2727272727272725</v>
      </c>
      <c r="I51" s="231">
        <v>1</v>
      </c>
      <c r="J51" s="223">
        <f t="shared" si="37"/>
        <v>5</v>
      </c>
      <c r="K51" s="224"/>
      <c r="L51" s="224">
        <f>INDEX(Table!M:M,MATCH(E51,Table!F:F,0))</f>
        <v>4.7249999999999996</v>
      </c>
      <c r="M51" s="223">
        <f t="shared" si="38"/>
        <v>9.7249999999999996</v>
      </c>
      <c r="N51" s="225">
        <v>4.9149999999999991</v>
      </c>
      <c r="O51" s="226">
        <v>2</v>
      </c>
      <c r="P51" s="227">
        <v>5</v>
      </c>
      <c r="Q51" s="228">
        <v>1.120000000000001</v>
      </c>
      <c r="R51" s="229">
        <v>2</v>
      </c>
      <c r="S51" s="230"/>
      <c r="T51" s="225">
        <v>-0.85000000000000009</v>
      </c>
      <c r="U51" s="231">
        <v>1</v>
      </c>
      <c r="V51" s="227"/>
      <c r="W51" s="228">
        <v>-7</v>
      </c>
      <c r="X51" s="229">
        <v>0</v>
      </c>
      <c r="Y51" s="230"/>
      <c r="Z51" s="225">
        <v>-4.3</v>
      </c>
      <c r="AA51" s="231">
        <v>1</v>
      </c>
      <c r="AB51" s="227"/>
      <c r="AC51" s="228">
        <v>-5.2727272727272725</v>
      </c>
      <c r="AD51" s="229">
        <v>1</v>
      </c>
      <c r="AE51" s="230"/>
      <c r="AF51" s="225"/>
      <c r="AG51" s="231"/>
      <c r="AH51" s="227"/>
      <c r="AI51" s="228"/>
      <c r="AJ51" s="229"/>
      <c r="AK51" s="230"/>
      <c r="AL51" s="225"/>
      <c r="AM51" s="231"/>
      <c r="AN51" s="227"/>
      <c r="AO51" s="228"/>
      <c r="AP51" s="229"/>
      <c r="AQ51" s="230"/>
      <c r="AR51" s="225"/>
      <c r="AS51" s="231"/>
      <c r="AT51" s="227"/>
      <c r="AU51" s="228"/>
      <c r="AV51" s="229"/>
      <c r="AW51" s="230"/>
      <c r="AX51" s="225"/>
      <c r="AY51" s="231"/>
      <c r="AZ51" s="227"/>
      <c r="BA51" s="228"/>
      <c r="BB51" s="229"/>
      <c r="BC51" s="230"/>
      <c r="BD51" s="225"/>
      <c r="BE51" s="231"/>
      <c r="BF51" s="227"/>
      <c r="BG51" s="228"/>
      <c r="BH51" s="232"/>
      <c r="BI51" s="230"/>
      <c r="BJ51" s="225"/>
      <c r="BK51" s="231"/>
      <c r="BL51" s="227"/>
      <c r="BM51" s="228"/>
      <c r="BN51" s="232"/>
      <c r="BO51" s="230"/>
      <c r="BP51" s="225"/>
      <c r="BQ51" s="231"/>
      <c r="BR51" s="227"/>
      <c r="BS51" s="228"/>
      <c r="BT51" s="229"/>
      <c r="BU51" s="230"/>
      <c r="BV51" s="228">
        <f t="shared" si="39"/>
        <v>-11.387727272727272</v>
      </c>
      <c r="BW51" s="229">
        <f t="shared" si="40"/>
        <v>7</v>
      </c>
      <c r="BX51" s="230">
        <f t="shared" si="41"/>
        <v>5</v>
      </c>
      <c r="BY51" s="48"/>
      <c r="DX51" s="49"/>
      <c r="DY51" s="49"/>
      <c r="EF51" s="46"/>
      <c r="EG51" s="46"/>
    </row>
    <row r="52" spans="1:137">
      <c r="BY52" s="48"/>
      <c r="DX52" s="49"/>
      <c r="DY52" s="49"/>
      <c r="EF52" s="46"/>
      <c r="EG52" s="46"/>
    </row>
    <row r="53" spans="1:137">
      <c r="A53" s="46"/>
      <c r="B53" s="46"/>
      <c r="C53" s="46"/>
      <c r="D53" s="46"/>
      <c r="E53" s="448"/>
      <c r="F53" s="449"/>
      <c r="G53" s="46"/>
      <c r="H53" s="449"/>
      <c r="I53" s="450"/>
      <c r="J53" s="451">
        <f>SUM(J2:J51)</f>
        <v>150</v>
      </c>
      <c r="K53" s="451">
        <f>SUM(K2:K51)</f>
        <v>0</v>
      </c>
      <c r="L53" s="451"/>
      <c r="M53" s="451"/>
      <c r="N53" s="451"/>
      <c r="O53" s="451"/>
      <c r="P53" s="451">
        <f>SUM(P2:P51)</f>
        <v>25</v>
      </c>
      <c r="Q53" s="449"/>
      <c r="R53" s="451"/>
      <c r="S53" s="451">
        <f>SUM(S2:S51)</f>
        <v>25</v>
      </c>
      <c r="T53" s="451"/>
      <c r="U53" s="451"/>
      <c r="V53" s="451">
        <f>SUM(V2:V51)</f>
        <v>25</v>
      </c>
      <c r="W53" s="449"/>
      <c r="X53" s="451"/>
      <c r="Y53" s="451">
        <f>SUM(Y2:Y48)</f>
        <v>25</v>
      </c>
      <c r="Z53" s="451"/>
      <c r="AA53" s="451"/>
      <c r="AB53" s="451">
        <f>SUM(AB2:AB48)</f>
        <v>25</v>
      </c>
      <c r="AC53" s="451"/>
      <c r="AD53" s="451"/>
      <c r="AE53" s="451">
        <f>SUM(AE2:AE47)</f>
        <v>25</v>
      </c>
      <c r="AF53" s="451"/>
      <c r="AG53" s="451"/>
      <c r="AH53" s="451">
        <f>SUM(AH2:AH47)</f>
        <v>0</v>
      </c>
      <c r="AI53" s="451"/>
      <c r="AJ53" s="451"/>
      <c r="AK53" s="451">
        <f>SUM(AK2:AK47)</f>
        <v>0</v>
      </c>
      <c r="AL53" s="451"/>
      <c r="AM53" s="451"/>
      <c r="AN53" s="451">
        <f>SUM(AN2:AN47)</f>
        <v>0</v>
      </c>
      <c r="AO53" s="451"/>
      <c r="AP53" s="451"/>
      <c r="AQ53" s="451">
        <f>SUM(AQ2:AQ47)</f>
        <v>0</v>
      </c>
      <c r="AR53" s="451"/>
      <c r="AS53" s="451"/>
      <c r="AT53" s="451">
        <f>SUM(AT2:AT47)</f>
        <v>0</v>
      </c>
      <c r="AU53" s="451"/>
      <c r="AV53" s="451"/>
      <c r="AW53" s="451">
        <f>SUM(AW2:AW47)</f>
        <v>0</v>
      </c>
      <c r="AX53" s="451"/>
      <c r="AY53" s="451"/>
      <c r="AZ53" s="451">
        <f>SUM(AZ2:AZ47)</f>
        <v>0</v>
      </c>
      <c r="BA53" s="451"/>
      <c r="BB53" s="451"/>
      <c r="BC53" s="451">
        <f>SUM(BC2:BC47)</f>
        <v>0</v>
      </c>
      <c r="BD53" s="451"/>
      <c r="BE53" s="451"/>
      <c r="BF53" s="451">
        <f>SUM(BF2:BF47)</f>
        <v>0</v>
      </c>
      <c r="BG53" s="451"/>
      <c r="BH53" s="451"/>
      <c r="BI53" s="451">
        <f>SUM(BI2:BI47)</f>
        <v>0</v>
      </c>
      <c r="BJ53" s="451"/>
      <c r="BK53" s="451"/>
      <c r="BL53" s="451">
        <f>SUM(BL2:BL47)</f>
        <v>0</v>
      </c>
      <c r="BM53" s="451"/>
      <c r="BN53" s="451"/>
      <c r="BO53" s="451">
        <f>SUM(BO2:BO47)</f>
        <v>0</v>
      </c>
      <c r="BP53" s="451"/>
      <c r="BQ53" s="451"/>
      <c r="BR53" s="451">
        <f>SUM(BR2:BR47)</f>
        <v>0</v>
      </c>
      <c r="BS53" s="451"/>
      <c r="BT53" s="451"/>
      <c r="BU53" s="451">
        <f>SUM(BU2:BU47)</f>
        <v>0</v>
      </c>
      <c r="BV53" s="451"/>
      <c r="BW53" s="451"/>
      <c r="BX53" s="451">
        <f>SUM(BX2:BX47)</f>
        <v>125</v>
      </c>
      <c r="BY53" s="48"/>
      <c r="DX53" s="49"/>
      <c r="DY53" s="49"/>
      <c r="EF53" s="46"/>
      <c r="EG53" s="46"/>
    </row>
    <row r="54" spans="1:137" ht="12" customHeight="1">
      <c r="BY54" s="48"/>
      <c r="DX54" s="49"/>
      <c r="DY54" s="49"/>
      <c r="EF54" s="46"/>
      <c r="EG54" s="46"/>
    </row>
    <row r="55" spans="1:137">
      <c r="BY55" s="48"/>
      <c r="DX55" s="49"/>
      <c r="DY55" s="49"/>
      <c r="EF55" s="46"/>
      <c r="EG55" s="46"/>
    </row>
    <row r="56" spans="1:137">
      <c r="BY56" s="48"/>
      <c r="DX56" s="49"/>
      <c r="DY56" s="49"/>
      <c r="EF56" s="46"/>
      <c r="EG56" s="46"/>
    </row>
    <row r="57" spans="1:137">
      <c r="DX57" s="49"/>
      <c r="DY57" s="49"/>
      <c r="EF57" s="46"/>
      <c r="EG57" s="46"/>
    </row>
    <row r="58" spans="1:137">
      <c r="DX58" s="49"/>
      <c r="DY58" s="49"/>
      <c r="EF58" s="46"/>
      <c r="EG58" s="46"/>
    </row>
    <row r="59" spans="1:137">
      <c r="DX59" s="49"/>
      <c r="DY59" s="49"/>
      <c r="EF59" s="46"/>
      <c r="EG59" s="46"/>
    </row>
    <row r="60" spans="1:137">
      <c r="DX60" s="49"/>
      <c r="DY60" s="49"/>
      <c r="EF60" s="46"/>
      <c r="EG60" s="46"/>
    </row>
    <row r="61" spans="1:137">
      <c r="DX61" s="49"/>
      <c r="DY61" s="49"/>
      <c r="EF61" s="46"/>
      <c r="EG61" s="46"/>
    </row>
    <row r="62" spans="1:137">
      <c r="BY62" s="49"/>
      <c r="BZ62" s="49"/>
      <c r="DX62" s="49"/>
      <c r="DY62" s="49"/>
      <c r="EF62" s="46"/>
      <c r="EG62" s="46"/>
    </row>
    <row r="63" spans="1:137">
      <c r="CA63" s="49"/>
      <c r="CB63" s="49"/>
      <c r="CC63" s="49"/>
      <c r="CD63" s="49"/>
      <c r="CE63" s="49"/>
      <c r="CF63" s="49"/>
      <c r="CG63" s="49"/>
      <c r="CH63" s="49"/>
      <c r="CI63" s="49"/>
      <c r="CJ63" s="49"/>
      <c r="DX63" s="49"/>
      <c r="DY63" s="49"/>
      <c r="EF63" s="46"/>
      <c r="EG63" s="46"/>
    </row>
    <row r="64" spans="1:137">
      <c r="DX64" s="49"/>
      <c r="DY64" s="49"/>
      <c r="EF64" s="46"/>
      <c r="EG64" s="46"/>
    </row>
    <row r="65" spans="89:137">
      <c r="DX65" s="49"/>
      <c r="DY65" s="49"/>
      <c r="EF65" s="46"/>
      <c r="EG65" s="46"/>
    </row>
    <row r="66" spans="89:137">
      <c r="DX66" s="49"/>
      <c r="DY66" s="49"/>
      <c r="EF66" s="46"/>
      <c r="EG66" s="46"/>
    </row>
    <row r="67" spans="89:137">
      <c r="DX67" s="49"/>
      <c r="DY67" s="49"/>
      <c r="EF67" s="46"/>
      <c r="EG67" s="46"/>
    </row>
    <row r="68" spans="89:137">
      <c r="CK68" s="49"/>
      <c r="CL68" s="49"/>
      <c r="CM68" s="49"/>
      <c r="CN68" s="49"/>
      <c r="CO68" s="49"/>
      <c r="CP68" s="49"/>
      <c r="CQ68" s="49"/>
      <c r="CR68" s="49"/>
      <c r="CS68" s="49"/>
      <c r="CT68" s="49"/>
      <c r="CU68" s="49"/>
      <c r="CV68" s="49"/>
      <c r="CW68" s="49"/>
      <c r="CX68" s="49"/>
      <c r="CY68" s="49"/>
      <c r="CZ68" s="49"/>
      <c r="DA68" s="49"/>
      <c r="DB68" s="49"/>
      <c r="DC68" s="49"/>
      <c r="DD68" s="49"/>
      <c r="DE68" s="49"/>
      <c r="DF68" s="49"/>
      <c r="DG68" s="49"/>
      <c r="DH68" s="49"/>
      <c r="DI68" s="49"/>
      <c r="DJ68" s="49"/>
      <c r="DK68" s="49"/>
      <c r="DL68" s="49"/>
      <c r="DM68" s="49"/>
      <c r="DN68" s="49"/>
      <c r="DO68" s="49"/>
      <c r="DP68" s="49"/>
      <c r="DQ68" s="49"/>
      <c r="DR68" s="49"/>
      <c r="DS68" s="49"/>
      <c r="DT68" s="49"/>
      <c r="DU68" s="49"/>
      <c r="DV68" s="49"/>
      <c r="DW68" s="49"/>
      <c r="DX68" s="49"/>
      <c r="DY68" s="49"/>
      <c r="EF68" s="46"/>
      <c r="EG68" s="46"/>
    </row>
    <row r="69" spans="89:137">
      <c r="DX69" s="49"/>
      <c r="DY69" s="49"/>
      <c r="EF69" s="46"/>
      <c r="EG69" s="46"/>
    </row>
    <row r="70" spans="89:137">
      <c r="DX70" s="49"/>
      <c r="DY70" s="49"/>
      <c r="EF70" s="46"/>
      <c r="EG70" s="46"/>
    </row>
    <row r="71" spans="89:137">
      <c r="DX71" s="49"/>
      <c r="DY71" s="49"/>
      <c r="EF71" s="46"/>
      <c r="EG71" s="46"/>
    </row>
    <row r="72" spans="89:137">
      <c r="DX72" s="49"/>
      <c r="DY72" s="49"/>
      <c r="EF72" s="46"/>
      <c r="EG72" s="46"/>
    </row>
    <row r="73" spans="89:137">
      <c r="DX73" s="49"/>
      <c r="DY73" s="49"/>
      <c r="EF73" s="46"/>
      <c r="EG73" s="46"/>
    </row>
    <row r="74" spans="89:137">
      <c r="DX74" s="49"/>
      <c r="DY74" s="49"/>
      <c r="EF74" s="46"/>
      <c r="EG74" s="46"/>
    </row>
    <row r="75" spans="89:137">
      <c r="DX75" s="49"/>
      <c r="DY75" s="49"/>
      <c r="EF75" s="46"/>
      <c r="EG75" s="46"/>
    </row>
    <row r="76" spans="89:137">
      <c r="DX76" s="49"/>
      <c r="DY76" s="49"/>
      <c r="EF76" s="46"/>
      <c r="EG76" s="46"/>
    </row>
    <row r="77" spans="89:137">
      <c r="DX77" s="49"/>
      <c r="DY77" s="49"/>
      <c r="EF77" s="46"/>
      <c r="EG77" s="46"/>
    </row>
    <row r="78" spans="89:137">
      <c r="DX78" s="49"/>
      <c r="DY78" s="49"/>
      <c r="EF78" s="46"/>
      <c r="EG78" s="46"/>
    </row>
  </sheetData>
  <autoFilter ref="A1:BX56" xr:uid="{00000000-0009-0000-0000-000002000000}"/>
  <phoneticPr fontId="0" type="noConversion"/>
  <conditionalFormatting sqref="J2:M45">
    <cfRule type="cellIs" dxfId="134" priority="6" stopIfTrue="1" operator="equal">
      <formula>0</formula>
    </cfRule>
  </conditionalFormatting>
  <conditionalFormatting sqref="J46:M51">
    <cfRule type="cellIs" dxfId="133" priority="1" stopIfTrue="1" operator="equal">
      <formula>0</formula>
    </cfRule>
  </conditionalFormatting>
  <hyperlinks>
    <hyperlink ref="A1" location="Menu!A1" display="Rank Seas" xr:uid="{00000000-0004-0000-0200-000000000000}"/>
  </hyperlinks>
  <printOptions headings="1" gridLines="1"/>
  <pageMargins left="0.74803149606299213" right="0.74803149606299213" top="0.98425196850393704" bottom="0.98425196850393704" header="0.51181102362204722" footer="0.51181102362204722"/>
  <pageSetup paperSize="9" scale="75" orientation="landscape" r:id="rId1"/>
  <headerFooter alignWithMargins="0"/>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4">
    <tabColor rgb="FF7030A0"/>
    <pageSetUpPr fitToPage="1"/>
  </sheetPr>
  <dimension ref="A1:AB54"/>
  <sheetViews>
    <sheetView zoomScale="90" zoomScaleNormal="90" workbookViewId="0">
      <pane ySplit="1" topLeftCell="A2" activePane="bottomLeft" state="frozen"/>
      <selection pane="bottomLeft" activeCell="D2" sqref="D2"/>
    </sheetView>
  </sheetViews>
  <sheetFormatPr defaultRowHeight="12.75"/>
  <cols>
    <col min="1" max="1" width="17.265625" customWidth="1"/>
    <col min="2" max="2" width="4.46484375" hidden="1" customWidth="1"/>
    <col min="3" max="3" width="11.1328125" customWidth="1"/>
    <col min="4" max="4" width="5.265625" customWidth="1"/>
    <col min="5" max="5" width="6.1328125" style="8" hidden="1" customWidth="1"/>
    <col min="6" max="6" width="26.1328125" style="4" customWidth="1"/>
    <col min="7" max="7" width="7.86328125" style="8" hidden="1" customWidth="1"/>
    <col min="8" max="8" width="11.86328125" style="20" hidden="1" customWidth="1"/>
    <col min="9" max="9" width="8.59765625" style="186" customWidth="1"/>
    <col min="10" max="10" width="8" style="272" customWidth="1"/>
    <col min="11" max="11" width="8.86328125" style="186" customWidth="1"/>
    <col min="12" max="12" width="9.1328125" style="272" customWidth="1"/>
    <col min="13" max="13" width="10.73046875" customWidth="1"/>
    <col min="14" max="14" width="10.73046875" style="19" customWidth="1"/>
    <col min="15" max="18" width="10.73046875" customWidth="1"/>
    <col min="19" max="19" width="8.59765625" style="1" customWidth="1"/>
    <col min="20" max="20" width="4.59765625" customWidth="1"/>
    <col min="21" max="21" width="41.73046875" customWidth="1"/>
  </cols>
  <sheetData>
    <row r="1" spans="1:28" ht="42.75" customHeight="1" thickBot="1">
      <c r="A1" s="496" t="str">
        <f>CONCATENATE(CurrentSeason,"/Week ",CurrentWeek)</f>
        <v>PL48/Week 06</v>
      </c>
      <c r="B1" s="56" t="s">
        <v>225</v>
      </c>
      <c r="C1" s="248" t="s">
        <v>417</v>
      </c>
      <c r="D1" s="56" t="s">
        <v>212</v>
      </c>
      <c r="E1" s="56" t="s">
        <v>537</v>
      </c>
      <c r="F1" s="220" t="s">
        <v>16</v>
      </c>
      <c r="G1" s="56" t="s">
        <v>538</v>
      </c>
      <c r="H1" s="513" t="s">
        <v>253</v>
      </c>
      <c r="I1" s="266" t="s">
        <v>124</v>
      </c>
      <c r="J1" s="268" t="s">
        <v>125</v>
      </c>
      <c r="K1" s="267" t="s">
        <v>126</v>
      </c>
      <c r="L1" s="273" t="s">
        <v>127</v>
      </c>
      <c r="M1" s="249" t="s">
        <v>299</v>
      </c>
      <c r="N1" s="249" t="s">
        <v>220</v>
      </c>
      <c r="O1" s="249" t="s">
        <v>162</v>
      </c>
      <c r="P1" s="554" t="s">
        <v>226</v>
      </c>
      <c r="Q1" s="652" t="s">
        <v>519</v>
      </c>
      <c r="R1" s="653" t="s">
        <v>520</v>
      </c>
      <c r="S1" s="597" t="s">
        <v>510</v>
      </c>
      <c r="T1" s="595">
        <f>COUNTIF(S:S,"N")</f>
        <v>0</v>
      </c>
      <c r="U1" s="76"/>
      <c r="V1" s="76"/>
      <c r="W1" s="76"/>
      <c r="X1" s="76"/>
      <c r="Y1" s="76"/>
      <c r="Z1" s="76"/>
      <c r="AA1" s="76"/>
    </row>
    <row r="2" spans="1:28" ht="14.1" customHeight="1">
      <c r="A2" s="700" t="s">
        <v>213</v>
      </c>
      <c r="B2" s="237" t="str">
        <f t="shared" ref="B2:B33" si="0">CONCATENATE(E2,D2)</f>
        <v>A1</v>
      </c>
      <c r="C2" s="553" t="s">
        <v>487</v>
      </c>
      <c r="D2" s="237">
        <v>1</v>
      </c>
      <c r="E2" s="509" t="s">
        <v>221</v>
      </c>
      <c r="F2" s="281" t="s">
        <v>284</v>
      </c>
      <c r="G2" s="509" t="s">
        <v>221</v>
      </c>
      <c r="H2" s="281"/>
      <c r="I2" s="675">
        <f>INDEX(Weekly!F:F,MATCH($F2,Weekly!$E:$E,0))</f>
        <v>3.859444444444442</v>
      </c>
      <c r="J2" s="676">
        <f>INDEX(Weekly!G:G,MATCH($F2,Weekly!$E:$E,0))</f>
        <v>9</v>
      </c>
      <c r="K2" s="677">
        <f>INDEX(Weekly!H:H,MATCH($F2,Weekly!$E:$E,0))</f>
        <v>15.625</v>
      </c>
      <c r="L2" s="678">
        <f>INDEX(Weekly!I:I,MATCH($F2,Weekly!$E:$E,0))</f>
        <v>3</v>
      </c>
      <c r="M2" s="282">
        <f>INDEX(Prizes!F:F,MATCH($B2,Prizes!A:A,0))</f>
        <v>78.75</v>
      </c>
      <c r="N2" s="252">
        <f>INDEX(Weekly!J:J,MATCH($F2,Weekly!$E:$E,0))</f>
        <v>5</v>
      </c>
      <c r="O2" s="282">
        <f>INDEX(Weekly!K:K,MATCH($F2,Weekly!$E:$E,0))</f>
        <v>0</v>
      </c>
      <c r="P2" s="555">
        <f>INDEX(Weekly!M:M,MATCH($F2,Weekly!$E:$E,0))</f>
        <v>83.75</v>
      </c>
      <c r="Q2" s="654">
        <f>INDEX(Picks!J:J,MATCH(F2,Picks!A:A,0))</f>
        <v>15.625</v>
      </c>
      <c r="R2" s="655">
        <f>INDEX(Picks!I:I,MATCH(F2,Picks!A:A,0))</f>
        <v>15.625</v>
      </c>
      <c r="S2" s="596"/>
      <c r="T2" s="76"/>
      <c r="U2" s="76"/>
      <c r="V2" s="76"/>
      <c r="W2" s="76"/>
      <c r="X2" s="76"/>
      <c r="Y2" s="76"/>
      <c r="Z2" s="76"/>
      <c r="AA2" s="76"/>
      <c r="AB2" s="76"/>
    </row>
    <row r="3" spans="1:28" ht="14.1" customHeight="1">
      <c r="A3" s="701"/>
      <c r="B3" s="1" t="str">
        <f t="shared" si="0"/>
        <v>A2</v>
      </c>
      <c r="C3" s="255" t="s">
        <v>487</v>
      </c>
      <c r="D3" s="1">
        <v>2</v>
      </c>
      <c r="E3" s="749" t="s">
        <v>221</v>
      </c>
      <c r="F3" s="750" t="s">
        <v>285</v>
      </c>
      <c r="G3" s="749" t="s">
        <v>221</v>
      </c>
      <c r="H3" s="752"/>
      <c r="I3" s="245">
        <f>INDEX(Weekly!F:F,MATCH($F3,Weekly!$E:$E,0))</f>
        <v>1.8999999999999986</v>
      </c>
      <c r="J3" s="754">
        <f>INDEX(Weekly!G:G,MATCH($F3,Weekly!$E:$E,0))</f>
        <v>10</v>
      </c>
      <c r="K3" s="756">
        <f>INDEX(Weekly!H:H,MATCH($F3,Weekly!$E:$E,0))</f>
        <v>-2.375</v>
      </c>
      <c r="L3" s="274">
        <f>INDEX(Weekly!I:I,MATCH($F3,Weekly!$E:$E,0))</f>
        <v>2</v>
      </c>
      <c r="M3" s="250">
        <f>INDEX(Prizes!F:F,MATCH($B3,Prizes!A:A,0))</f>
        <v>56.25</v>
      </c>
      <c r="N3" s="413">
        <f>INDEX(Weekly!J:J,MATCH($F3,Weekly!$E:$E,0))</f>
        <v>5</v>
      </c>
      <c r="O3" s="250">
        <f>INDEX(Weekly!K:K,MATCH($F3,Weekly!$E:$E,0))</f>
        <v>0</v>
      </c>
      <c r="P3" s="556">
        <f>INDEX(Weekly!M:M,MATCH($F3,Weekly!$E:$E,0))</f>
        <v>61.25</v>
      </c>
      <c r="Q3" s="656">
        <f>INDEX(Picks!J:J,MATCH(F3,Picks!A:A,0))</f>
        <v>5.2954545454545467</v>
      </c>
      <c r="R3" s="657">
        <f>INDEX(Picks!I:I,MATCH(F3,Picks!A:A,0))</f>
        <v>-2.375</v>
      </c>
      <c r="S3" s="596"/>
      <c r="T3" s="76"/>
      <c r="U3" s="76"/>
      <c r="V3" s="76"/>
      <c r="W3" s="76"/>
      <c r="X3" s="76"/>
      <c r="Y3" s="76"/>
      <c r="Z3" s="76"/>
      <c r="AA3" s="76"/>
      <c r="AB3" s="76"/>
    </row>
    <row r="4" spans="1:28" ht="14.1" customHeight="1">
      <c r="A4" s="701"/>
      <c r="B4" s="1" t="str">
        <f t="shared" si="0"/>
        <v>A3</v>
      </c>
      <c r="C4" s="255" t="s">
        <v>487</v>
      </c>
      <c r="D4" s="1">
        <v>3</v>
      </c>
      <c r="E4" s="10" t="s">
        <v>221</v>
      </c>
      <c r="F4" s="4" t="s">
        <v>287</v>
      </c>
      <c r="G4" s="10" t="s">
        <v>221</v>
      </c>
      <c r="H4" s="513"/>
      <c r="I4" s="245">
        <f>INDEX(Weekly!F:F,MATCH($F4,Weekly!$E:$E,0))</f>
        <v>-8.6989177489177489</v>
      </c>
      <c r="J4" s="269">
        <f>INDEX(Weekly!G:G,MATCH($F4,Weekly!$E:$E,0))</f>
        <v>11</v>
      </c>
      <c r="K4" s="125">
        <f>INDEX(Weekly!H:H,MATCH($F4,Weekly!$E:$E,0))</f>
        <v>-5.6363636363636367</v>
      </c>
      <c r="L4" s="274">
        <f>INDEX(Weekly!I:I,MATCH($F4,Weekly!$E:$E,0))</f>
        <v>1</v>
      </c>
      <c r="M4" s="250">
        <f>INDEX(Prizes!F:F,MATCH($B4,Prizes!A:A,0))</f>
        <v>40.5</v>
      </c>
      <c r="N4" s="413">
        <f>INDEX(Weekly!J:J,MATCH($F4,Weekly!$E:$E,0))</f>
        <v>0</v>
      </c>
      <c r="O4" s="250">
        <f>INDEX(Weekly!K:K,MATCH($F4,Weekly!$E:$E,0))</f>
        <v>0</v>
      </c>
      <c r="P4" s="556">
        <f>INDEX(Weekly!M:M,MATCH($F4,Weekly!$E:$E,0))</f>
        <v>40.5</v>
      </c>
      <c r="Q4" s="656">
        <f>INDEX(Picks!J:J,MATCH(F4,Picks!A:A,0))</f>
        <v>9.3090909090909122</v>
      </c>
      <c r="R4" s="657">
        <f>INDEX(Picks!I:I,MATCH(F4,Picks!A:A,0))</f>
        <v>-5.6363636363636367</v>
      </c>
      <c r="S4" s="596"/>
      <c r="T4" s="265"/>
      <c r="U4" s="89" t="s">
        <v>255</v>
      </c>
      <c r="V4" s="76"/>
      <c r="W4" s="76"/>
      <c r="X4" s="76"/>
      <c r="Y4" s="76"/>
      <c r="Z4" s="76"/>
      <c r="AA4" s="76"/>
      <c r="AB4" s="76"/>
    </row>
    <row r="5" spans="1:28" ht="14.1" customHeight="1">
      <c r="A5" s="701"/>
      <c r="B5" s="1" t="str">
        <f t="shared" si="0"/>
        <v>A4</v>
      </c>
      <c r="C5" s="255" t="s">
        <v>487</v>
      </c>
      <c r="D5" s="10">
        <v>4</v>
      </c>
      <c r="E5" s="10" t="s">
        <v>221</v>
      </c>
      <c r="F5" s="4" t="s">
        <v>292</v>
      </c>
      <c r="G5" s="10" t="s">
        <v>221</v>
      </c>
      <c r="H5" s="513"/>
      <c r="I5" s="245">
        <f>INDEX(Weekly!F:F,MATCH($F5,Weekly!$E:$E,0))</f>
        <v>-10.369008264462805</v>
      </c>
      <c r="J5" s="269">
        <f>INDEX(Weekly!G:G,MATCH($F5,Weekly!$E:$E,0))</f>
        <v>6</v>
      </c>
      <c r="K5" s="125">
        <f>INDEX(Weekly!H:H,MATCH($F5,Weekly!$E:$E,0))</f>
        <v>-7</v>
      </c>
      <c r="L5" s="274">
        <f>INDEX(Weekly!I:I,MATCH($F5,Weekly!$E:$E,0))</f>
        <v>0</v>
      </c>
      <c r="M5" s="250">
        <f>INDEX(Prizes!F:F,MATCH($B5,Prizes!A:A,0))</f>
        <v>27</v>
      </c>
      <c r="N5" s="413">
        <f>INDEX(Weekly!J:J,MATCH($F5,Weekly!$E:$E,0))</f>
        <v>10</v>
      </c>
      <c r="O5" s="250">
        <f>INDEX(Weekly!K:K,MATCH($F5,Weekly!$E:$E,0))</f>
        <v>0</v>
      </c>
      <c r="P5" s="556">
        <f>INDEX(Weekly!M:M,MATCH($F5,Weekly!$E:$E,0))</f>
        <v>37</v>
      </c>
      <c r="Q5" s="656">
        <f>INDEX(Picks!J:J,MATCH(F5,Picks!A:A,0))</f>
        <v>21.783249999999999</v>
      </c>
      <c r="R5" s="657">
        <f>INDEX(Picks!I:I,MATCH(F5,Picks!A:A,0))</f>
        <v>-7</v>
      </c>
      <c r="S5" s="596"/>
      <c r="T5" s="259"/>
      <c r="U5" s="69" t="s">
        <v>256</v>
      </c>
      <c r="V5" s="76"/>
      <c r="W5" s="76"/>
      <c r="X5" s="76"/>
      <c r="Y5" s="76"/>
      <c r="Z5" s="76"/>
      <c r="AA5" s="76"/>
      <c r="AB5" s="76"/>
    </row>
    <row r="6" spans="1:28" ht="14.1" customHeight="1">
      <c r="A6" s="701"/>
      <c r="B6" s="10" t="str">
        <f t="shared" si="0"/>
        <v>A5</v>
      </c>
      <c r="C6" s="256" t="s">
        <v>487</v>
      </c>
      <c r="D6" s="1">
        <v>5</v>
      </c>
      <c r="E6" s="10" t="s">
        <v>221</v>
      </c>
      <c r="F6" s="4" t="s">
        <v>349</v>
      </c>
      <c r="G6" s="10" t="s">
        <v>221</v>
      </c>
      <c r="H6" s="513"/>
      <c r="I6" s="245">
        <f>INDEX(Weekly!F:F,MATCH($F6,Weekly!$E:$E,0))</f>
        <v>-12.149350649350648</v>
      </c>
      <c r="J6" s="269">
        <f>INDEX(Weekly!G:G,MATCH($F6,Weekly!$E:$E,0))</f>
        <v>10</v>
      </c>
      <c r="K6" s="125">
        <f>INDEX(Weekly!H:H,MATCH($F6,Weekly!$E:$E,0))</f>
        <v>-2.0909090909090899</v>
      </c>
      <c r="L6" s="274">
        <f>INDEX(Weekly!I:I,MATCH($F6,Weekly!$E:$E,0))</f>
        <v>2</v>
      </c>
      <c r="M6" s="250">
        <f>INDEX(Prizes!F:F,MATCH($B6,Prizes!A:A,0))</f>
        <v>15.75</v>
      </c>
      <c r="N6" s="413">
        <f>INDEX(Weekly!J:J,MATCH($F6,Weekly!$E:$E,0))</f>
        <v>0</v>
      </c>
      <c r="O6" s="250">
        <f>INDEX(Weekly!K:K,MATCH($F6,Weekly!$E:$E,0))</f>
        <v>0</v>
      </c>
      <c r="P6" s="556">
        <f>INDEX(Weekly!M:M,MATCH($F6,Weekly!$E:$E,0))</f>
        <v>15.75</v>
      </c>
      <c r="Q6" s="656">
        <f>INDEX(Picks!J:J,MATCH(F6,Picks!A:A,0))</f>
        <v>18.000000000000004</v>
      </c>
      <c r="R6" s="657">
        <f>INDEX(Picks!I:I,MATCH(F6,Picks!A:A,0))</f>
        <v>-2.0909090909090899</v>
      </c>
      <c r="S6" s="596"/>
      <c r="T6" s="260"/>
      <c r="U6" s="69" t="s">
        <v>257</v>
      </c>
      <c r="V6" s="76"/>
      <c r="W6" s="76"/>
      <c r="X6" s="76"/>
      <c r="Y6" s="76"/>
      <c r="Z6" s="76"/>
      <c r="AA6" s="76"/>
      <c r="AB6" s="76"/>
    </row>
    <row r="7" spans="1:28" ht="14.1" customHeight="1">
      <c r="A7" s="701"/>
      <c r="B7" s="1" t="str">
        <f t="shared" si="0"/>
        <v>A6</v>
      </c>
      <c r="C7" s="255" t="s">
        <v>487</v>
      </c>
      <c r="D7" s="1">
        <v>6</v>
      </c>
      <c r="E7" s="749" t="s">
        <v>221</v>
      </c>
      <c r="F7" s="750" t="s">
        <v>282</v>
      </c>
      <c r="G7" s="749" t="s">
        <v>221</v>
      </c>
      <c r="H7" s="752"/>
      <c r="I7" s="245">
        <f>INDEX(Weekly!F:F,MATCH($F7,Weekly!$E:$E,0))</f>
        <v>-14.09</v>
      </c>
      <c r="J7" s="754">
        <f>INDEX(Weekly!G:G,MATCH($F7,Weekly!$E:$E,0))</f>
        <v>6</v>
      </c>
      <c r="K7" s="756">
        <f>INDEX(Weekly!H:H,MATCH($F7,Weekly!$E:$E,0))</f>
        <v>9.16</v>
      </c>
      <c r="L7" s="274">
        <f>INDEX(Weekly!I:I,MATCH($F7,Weekly!$E:$E,0))</f>
        <v>2</v>
      </c>
      <c r="M7" s="250">
        <f>INDEX(Prizes!F:F,MATCH($B7,Prizes!A:A,0))</f>
        <v>6.75</v>
      </c>
      <c r="N7" s="413">
        <f>INDEX(Weekly!J:J,MATCH($F7,Weekly!$E:$E,0))</f>
        <v>0</v>
      </c>
      <c r="O7" s="250">
        <f>INDEX(Weekly!K:K,MATCH($F7,Weekly!$E:$E,0))</f>
        <v>0</v>
      </c>
      <c r="P7" s="556">
        <f>INDEX(Weekly!M:M,MATCH($F7,Weekly!$E:$E,0))</f>
        <v>6.75</v>
      </c>
      <c r="Q7" s="656">
        <f>INDEX(Picks!J:J,MATCH(F7,Picks!A:A,0))</f>
        <v>44.337999999999994</v>
      </c>
      <c r="R7" s="657">
        <f>INDEX(Picks!I:I,MATCH(F7,Picks!A:A,0))</f>
        <v>9.16</v>
      </c>
      <c r="S7" s="596"/>
      <c r="T7" s="261"/>
      <c r="U7" s="69" t="s">
        <v>258</v>
      </c>
      <c r="V7" s="76"/>
      <c r="W7" s="76"/>
      <c r="X7" s="76"/>
      <c r="Y7" s="76"/>
      <c r="Z7" s="76"/>
      <c r="AA7" s="76"/>
      <c r="AB7" s="76"/>
    </row>
    <row r="8" spans="1:28" ht="14.1" customHeight="1">
      <c r="A8" s="701"/>
      <c r="B8" s="1" t="str">
        <f t="shared" si="0"/>
        <v>A7</v>
      </c>
      <c r="C8" s="255" t="s">
        <v>487</v>
      </c>
      <c r="D8" s="1">
        <v>7</v>
      </c>
      <c r="E8" s="10" t="s">
        <v>221</v>
      </c>
      <c r="F8" s="4" t="s">
        <v>269</v>
      </c>
      <c r="G8" s="10" t="s">
        <v>221</v>
      </c>
      <c r="H8" s="513"/>
      <c r="I8" s="245">
        <f>INDEX(Weekly!F:F,MATCH($F8,Weekly!$E:$E,0))</f>
        <v>-15.678888888888888</v>
      </c>
      <c r="J8" s="269">
        <f>INDEX(Weekly!G:G,MATCH($F8,Weekly!$E:$E,0))</f>
        <v>8</v>
      </c>
      <c r="K8" s="125">
        <f>INDEX(Weekly!H:H,MATCH($F8,Weekly!$E:$E,0))</f>
        <v>2.7100000000000009</v>
      </c>
      <c r="L8" s="274">
        <f>INDEX(Weekly!I:I,MATCH($F8,Weekly!$E:$E,0))</f>
        <v>2</v>
      </c>
      <c r="M8" s="250">
        <f>INDEX(Prizes!F:F,MATCH($B8,Prizes!A:A,0))</f>
        <v>0</v>
      </c>
      <c r="N8" s="413">
        <f>INDEX(Weekly!J:J,MATCH($F8,Weekly!$E:$E,0))</f>
        <v>0</v>
      </c>
      <c r="O8" s="250">
        <f>INDEX(Weekly!K:K,MATCH($F8,Weekly!$E:$E,0))</f>
        <v>0</v>
      </c>
      <c r="P8" s="556">
        <f>INDEX(Weekly!M:M,MATCH($F8,Weekly!$E:$E,0))</f>
        <v>0</v>
      </c>
      <c r="Q8" s="656">
        <f>INDEX(Picks!J:J,MATCH(F8,Picks!A:A,0))</f>
        <v>40.195</v>
      </c>
      <c r="R8" s="657">
        <f>INDEX(Picks!I:I,MATCH(F8,Picks!A:A,0))</f>
        <v>2.7100000000000009</v>
      </c>
      <c r="S8" s="596"/>
      <c r="T8" s="262"/>
      <c r="U8" s="69" t="s">
        <v>259</v>
      </c>
      <c r="V8" s="76"/>
      <c r="W8" s="76"/>
      <c r="X8" s="76"/>
      <c r="Y8" s="76"/>
      <c r="Z8" s="76"/>
      <c r="AA8" s="76"/>
      <c r="AB8" s="76"/>
    </row>
    <row r="9" spans="1:28" ht="14.1" customHeight="1">
      <c r="A9" s="701"/>
      <c r="B9" s="1" t="str">
        <f t="shared" si="0"/>
        <v>A8</v>
      </c>
      <c r="C9" s="255" t="s">
        <v>487</v>
      </c>
      <c r="D9" s="1">
        <v>8</v>
      </c>
      <c r="E9" s="10" t="s">
        <v>221</v>
      </c>
      <c r="F9" s="4" t="s">
        <v>286</v>
      </c>
      <c r="G9" s="10" t="s">
        <v>221</v>
      </c>
      <c r="H9" s="513"/>
      <c r="I9" s="245">
        <f>INDEX(Weekly!F:F,MATCH($F9,Weekly!$E:$E,0))</f>
        <v>-16.982063492063489</v>
      </c>
      <c r="J9" s="269">
        <f>INDEX(Weekly!G:G,MATCH($F9,Weekly!$E:$E,0))</f>
        <v>8</v>
      </c>
      <c r="K9" s="125">
        <f>INDEX(Weekly!H:H,MATCH($F9,Weekly!$E:$E,0))</f>
        <v>-5.35</v>
      </c>
      <c r="L9" s="274">
        <f>INDEX(Weekly!I:I,MATCH($F9,Weekly!$E:$E,0))</f>
        <v>1</v>
      </c>
      <c r="M9" s="250">
        <f>INDEX(Prizes!F:F,MATCH($B9,Prizes!A:A,0))</f>
        <v>0</v>
      </c>
      <c r="N9" s="413">
        <f>INDEX(Weekly!J:J,MATCH($F9,Weekly!$E:$E,0))</f>
        <v>0</v>
      </c>
      <c r="O9" s="250">
        <f>INDEX(Weekly!K:K,MATCH($F9,Weekly!$E:$E,0))</f>
        <v>0</v>
      </c>
      <c r="P9" s="556">
        <f>INDEX(Weekly!M:M,MATCH($F9,Weekly!$E:$E,0))</f>
        <v>0</v>
      </c>
      <c r="Q9" s="656">
        <f>INDEX(Picks!J:J,MATCH(F9,Picks!A:A,0))</f>
        <v>11.059615384615384</v>
      </c>
      <c r="R9" s="657">
        <f>INDEX(Picks!I:I,MATCH(F9,Picks!A:A,0))</f>
        <v>-5.35</v>
      </c>
      <c r="S9" s="596"/>
      <c r="T9" s="263"/>
      <c r="U9" s="69" t="s">
        <v>260</v>
      </c>
      <c r="V9" s="76"/>
      <c r="W9" s="76"/>
      <c r="X9" s="76"/>
      <c r="Y9" s="76"/>
      <c r="Z9" s="76"/>
      <c r="AA9" s="76"/>
      <c r="AB9" s="76"/>
    </row>
    <row r="10" spans="1:28" ht="14.1" customHeight="1">
      <c r="A10" s="701"/>
      <c r="B10" s="1" t="str">
        <f t="shared" si="0"/>
        <v>A9</v>
      </c>
      <c r="C10" s="427" t="s">
        <v>252</v>
      </c>
      <c r="D10" s="1">
        <v>9</v>
      </c>
      <c r="E10" s="10" t="s">
        <v>221</v>
      </c>
      <c r="F10" s="4" t="s">
        <v>280</v>
      </c>
      <c r="G10" s="10" t="s">
        <v>221</v>
      </c>
      <c r="H10" s="513"/>
      <c r="I10" s="245">
        <f>INDEX(Weekly!F:F,MATCH($F10,Weekly!$E:$E,0))</f>
        <v>-18.336363636363636</v>
      </c>
      <c r="J10" s="269">
        <f>INDEX(Weekly!G:G,MATCH($F10,Weekly!$E:$E,0))</f>
        <v>6</v>
      </c>
      <c r="K10" s="125">
        <f>INDEX(Weekly!H:H,MATCH($F10,Weekly!$E:$E,0))</f>
        <v>-4.8</v>
      </c>
      <c r="L10" s="274">
        <f>INDEX(Weekly!I:I,MATCH($F10,Weekly!$E:$E,0))</f>
        <v>1</v>
      </c>
      <c r="M10" s="250">
        <f>INDEX(Prizes!F:F,MATCH($B10,Prizes!A:A,0))</f>
        <v>0</v>
      </c>
      <c r="N10" s="413">
        <f>INDEX(Weekly!J:J,MATCH($F10,Weekly!$E:$E,0))</f>
        <v>0</v>
      </c>
      <c r="O10" s="250">
        <f>INDEX(Weekly!K:K,MATCH($F10,Weekly!$E:$E,0))</f>
        <v>0</v>
      </c>
      <c r="P10" s="556">
        <f>INDEX(Weekly!M:M,MATCH($F10,Weekly!$E:$E,0))</f>
        <v>0</v>
      </c>
      <c r="Q10" s="656">
        <f>INDEX(Picks!J:J,MATCH(F10,Picks!A:A,0))</f>
        <v>20.672000000000004</v>
      </c>
      <c r="R10" s="657">
        <f>INDEX(Picks!I:I,MATCH(F10,Picks!A:A,0))</f>
        <v>-4.8</v>
      </c>
      <c r="S10" s="596"/>
      <c r="T10" s="264"/>
      <c r="U10" s="69" t="s">
        <v>261</v>
      </c>
      <c r="V10" s="76"/>
      <c r="W10" s="76"/>
      <c r="X10" s="76"/>
      <c r="Y10" s="76"/>
      <c r="Z10" s="76"/>
      <c r="AA10" s="76"/>
      <c r="AB10" s="76"/>
    </row>
    <row r="11" spans="1:28" ht="14.1" customHeight="1">
      <c r="A11" s="701"/>
      <c r="B11" s="1" t="str">
        <f t="shared" si="0"/>
        <v>A10</v>
      </c>
      <c r="C11" s="427" t="s">
        <v>252</v>
      </c>
      <c r="D11" s="1">
        <v>10</v>
      </c>
      <c r="E11" s="10" t="s">
        <v>221</v>
      </c>
      <c r="F11" s="4" t="s">
        <v>276</v>
      </c>
      <c r="G11" s="10" t="s">
        <v>221</v>
      </c>
      <c r="H11" s="516"/>
      <c r="I11" s="245">
        <f>INDEX(Weekly!F:F,MATCH($F11,Weekly!$E:$E,0))</f>
        <v>-20.414797323888234</v>
      </c>
      <c r="J11" s="269">
        <f>INDEX(Weekly!G:G,MATCH($F11,Weekly!$E:$E,0))</f>
        <v>8</v>
      </c>
      <c r="K11" s="125">
        <f>INDEX(Weekly!H:H,MATCH($F11,Weekly!$E:$E,0))</f>
        <v>-7</v>
      </c>
      <c r="L11" s="274">
        <f>INDEX(Weekly!I:I,MATCH($F11,Weekly!$E:$E,0))</f>
        <v>0</v>
      </c>
      <c r="M11" s="250">
        <f>INDEX(Prizes!F:F,MATCH($B11,Prizes!A:A,0))</f>
        <v>0</v>
      </c>
      <c r="N11" s="413">
        <f>INDEX(Weekly!J:J,MATCH($F11,Weekly!$E:$E,0))</f>
        <v>0</v>
      </c>
      <c r="O11" s="250">
        <f>INDEX(Weekly!K:K,MATCH($F11,Weekly!$E:$E,0))</f>
        <v>0</v>
      </c>
      <c r="P11" s="556">
        <f>INDEX(Weekly!M:M,MATCH($F11,Weekly!$E:$E,0))</f>
        <v>0</v>
      </c>
      <c r="Q11" s="656">
        <f>INDEX(Picks!J:J,MATCH(F11,Picks!A:A,0))</f>
        <v>12.498076923076923</v>
      </c>
      <c r="R11" s="657">
        <f>INDEX(Picks!I:I,MATCH(F11,Picks!A:A,0))</f>
        <v>-7</v>
      </c>
      <c r="S11" s="596"/>
      <c r="T11" s="76"/>
      <c r="U11" s="76"/>
      <c r="V11" s="76"/>
      <c r="W11" s="76"/>
      <c r="X11" s="76"/>
      <c r="Y11" s="76"/>
      <c r="Z11" s="76"/>
      <c r="AA11" s="76"/>
      <c r="AB11" s="76"/>
    </row>
    <row r="12" spans="1:28" ht="14.1" customHeight="1">
      <c r="A12" s="701"/>
      <c r="B12" s="1" t="str">
        <f t="shared" si="0"/>
        <v>A11</v>
      </c>
      <c r="C12" s="323" t="s">
        <v>253</v>
      </c>
      <c r="D12" s="324">
        <v>11</v>
      </c>
      <c r="E12" s="510" t="s">
        <v>221</v>
      </c>
      <c r="F12" s="320" t="s">
        <v>268</v>
      </c>
      <c r="G12" s="510" t="s">
        <v>221</v>
      </c>
      <c r="H12" s="514"/>
      <c r="I12" s="753">
        <f>INDEX(Weekly!F:F,MATCH($F12,Weekly!$E:$E,0))</f>
        <v>-25.903181818181814</v>
      </c>
      <c r="J12" s="755">
        <f>INDEX(Weekly!G:G,MATCH($F12,Weekly!$E:$E,0))</f>
        <v>6</v>
      </c>
      <c r="K12" s="757">
        <f>INDEX(Weekly!H:H,MATCH($F12,Weekly!$E:$E,0))</f>
        <v>-5.6363636363636367</v>
      </c>
      <c r="L12" s="758">
        <f>INDEX(Weekly!I:I,MATCH($F12,Weekly!$E:$E,0))</f>
        <v>1</v>
      </c>
      <c r="M12" s="321">
        <f>INDEX(Prizes!F:F,MATCH($B12,Prizes!A:A,0))</f>
        <v>0</v>
      </c>
      <c r="N12" s="322">
        <f>INDEX(Weekly!J:J,MATCH($F12,Weekly!$E:$E,0))</f>
        <v>0</v>
      </c>
      <c r="O12" s="321">
        <f>INDEX(Weekly!K:K,MATCH($F12,Weekly!$E:$E,0))</f>
        <v>0</v>
      </c>
      <c r="P12" s="557">
        <f>INDEX(Weekly!M:M,MATCH($F12,Weekly!$E:$E,0))</f>
        <v>0</v>
      </c>
      <c r="Q12" s="658">
        <f>INDEX(Picks!J:J,MATCH(F12,Picks!A:A,0))</f>
        <v>10.854545454545452</v>
      </c>
      <c r="R12" s="659">
        <f>INDEX(Picks!I:I,MATCH(F12,Picks!A:A,0))</f>
        <v>-5.6363636363636367</v>
      </c>
      <c r="S12" s="596"/>
      <c r="T12" s="76"/>
      <c r="U12" s="76"/>
      <c r="V12" s="76"/>
      <c r="W12" s="76"/>
      <c r="X12" s="76"/>
      <c r="Y12" s="76"/>
      <c r="Z12" s="76"/>
      <c r="AA12" s="76"/>
      <c r="AB12" s="76"/>
    </row>
    <row r="13" spans="1:28" ht="14.1" customHeight="1">
      <c r="A13" s="701"/>
      <c r="B13" s="10" t="str">
        <f t="shared" si="0"/>
        <v>A12</v>
      </c>
      <c r="C13" s="243" t="s">
        <v>253</v>
      </c>
      <c r="D13" s="1">
        <v>12</v>
      </c>
      <c r="E13" s="10" t="s">
        <v>221</v>
      </c>
      <c r="F13" s="4" t="s">
        <v>289</v>
      </c>
      <c r="G13" s="10" t="s">
        <v>221</v>
      </c>
      <c r="H13" s="513"/>
      <c r="I13" s="245">
        <f>INDEX(Weekly!F:F,MATCH($F13,Weekly!$E:$E,0))</f>
        <v>-27.5</v>
      </c>
      <c r="J13" s="269">
        <f>INDEX(Weekly!G:G,MATCH($F13,Weekly!$E:$E,0))</f>
        <v>6</v>
      </c>
      <c r="K13" s="125">
        <f>INDEX(Weekly!H:H,MATCH($F13,Weekly!$E:$E,0))</f>
        <v>-1.75</v>
      </c>
      <c r="L13" s="274">
        <f>INDEX(Weekly!I:I,MATCH($F13,Weekly!$E:$E,0))</f>
        <v>2</v>
      </c>
      <c r="M13" s="250">
        <f>INDEX(Prizes!F:F,MATCH($B13,Prizes!A:A,0))</f>
        <v>0</v>
      </c>
      <c r="N13" s="413">
        <f>INDEX(Weekly!J:J,MATCH($F13,Weekly!$E:$E,0))</f>
        <v>0</v>
      </c>
      <c r="O13" s="250">
        <f>INDEX(Weekly!K:K,MATCH($F13,Weekly!$E:$E,0))</f>
        <v>0</v>
      </c>
      <c r="P13" s="556">
        <f>INDEX(Weekly!M:M,MATCH($F13,Weekly!$E:$E,0))</f>
        <v>0</v>
      </c>
      <c r="Q13" s="656">
        <f>INDEX(Picks!J:J,MATCH(F13,Picks!A:A,0))</f>
        <v>8.3461538461538467</v>
      </c>
      <c r="R13" s="657">
        <f>INDEX(Picks!I:I,MATCH(F13,Picks!A:A,0))</f>
        <v>-1.75</v>
      </c>
      <c r="S13" s="596"/>
      <c r="T13" s="76"/>
      <c r="U13" s="76"/>
      <c r="V13" s="76"/>
      <c r="W13" s="76"/>
      <c r="X13" s="76"/>
      <c r="Y13" s="76"/>
      <c r="Z13" s="76"/>
      <c r="AA13" s="76"/>
      <c r="AB13" s="76"/>
    </row>
    <row r="14" spans="1:28" ht="14.1" customHeight="1">
      <c r="A14" s="701"/>
      <c r="B14" s="1" t="str">
        <f t="shared" si="0"/>
        <v>A13</v>
      </c>
      <c r="C14" s="242" t="s">
        <v>253</v>
      </c>
      <c r="D14" s="1">
        <v>13</v>
      </c>
      <c r="E14" s="10" t="s">
        <v>221</v>
      </c>
      <c r="F14" s="4" t="s">
        <v>414</v>
      </c>
      <c r="G14" s="10" t="s">
        <v>221</v>
      </c>
      <c r="H14" s="513"/>
      <c r="I14" s="245">
        <f>INDEX(Weekly!F:F,MATCH($F14,Weekly!$E:$E,0))</f>
        <v>-29.356363636363636</v>
      </c>
      <c r="J14" s="269">
        <f>INDEX(Weekly!G:G,MATCH($F14,Weekly!$E:$E,0))</f>
        <v>4</v>
      </c>
      <c r="K14" s="125">
        <f>INDEX(Weekly!H:H,MATCH($F14,Weekly!$E:$E,0))</f>
        <v>-5.6363636363636367</v>
      </c>
      <c r="L14" s="274">
        <f>INDEX(Weekly!I:I,MATCH($F14,Weekly!$E:$E,0))</f>
        <v>1</v>
      </c>
      <c r="M14" s="250">
        <f>INDEX(Prizes!F:F,MATCH($B14,Prizes!A:A,0))</f>
        <v>0</v>
      </c>
      <c r="N14" s="413">
        <f>INDEX(Weekly!J:J,MATCH($F14,Weekly!$E:$E,0))</f>
        <v>0</v>
      </c>
      <c r="O14" s="250">
        <f>INDEX(Weekly!K:K,MATCH($F14,Weekly!$E:$E,0))</f>
        <v>0</v>
      </c>
      <c r="P14" s="556">
        <f>INDEX(Weekly!M:M,MATCH($F14,Weekly!$E:$E,0))</f>
        <v>0</v>
      </c>
      <c r="Q14" s="656">
        <f>INDEX(Picks!J:J,MATCH(F14,Picks!A:A,0))</f>
        <v>10.854545454545455</v>
      </c>
      <c r="R14" s="657">
        <f>INDEX(Picks!I:I,MATCH(F14,Picks!A:A,0))</f>
        <v>-5.6363636363636367</v>
      </c>
      <c r="S14" s="596"/>
      <c r="T14" s="76"/>
      <c r="U14" s="76"/>
      <c r="V14" s="76"/>
      <c r="W14" s="76"/>
      <c r="X14" s="76"/>
      <c r="Y14" s="76"/>
      <c r="Z14" s="76"/>
      <c r="AA14" s="76"/>
      <c r="AB14" s="76"/>
    </row>
    <row r="15" spans="1:28" ht="14.1" customHeight="1">
      <c r="A15" s="701"/>
      <c r="B15" s="1" t="str">
        <f t="shared" si="0"/>
        <v>A14</v>
      </c>
      <c r="C15" s="242" t="s">
        <v>253</v>
      </c>
      <c r="D15" s="1">
        <v>14</v>
      </c>
      <c r="E15" s="10" t="s">
        <v>221</v>
      </c>
      <c r="F15" s="4" t="s">
        <v>281</v>
      </c>
      <c r="G15" s="10" t="s">
        <v>221</v>
      </c>
      <c r="H15" s="513"/>
      <c r="I15" s="245">
        <f>INDEX(Weekly!F:F,MATCH($F15,Weekly!$E:$E,0))</f>
        <v>-32.25</v>
      </c>
      <c r="J15" s="269">
        <f>INDEX(Weekly!G:G,MATCH($F15,Weekly!$E:$E,0))</f>
        <v>4</v>
      </c>
      <c r="K15" s="125">
        <f>INDEX(Weekly!H:H,MATCH($F15,Weekly!$E:$E,0))</f>
        <v>-7</v>
      </c>
      <c r="L15" s="274">
        <f>INDEX(Weekly!I:I,MATCH($F15,Weekly!$E:$E,0))</f>
        <v>0</v>
      </c>
      <c r="M15" s="250">
        <f>INDEX(Prizes!F:F,MATCH($B15,Prizes!A:A,0))</f>
        <v>0</v>
      </c>
      <c r="N15" s="413">
        <f>INDEX(Weekly!J:J,MATCH($F15,Weekly!$E:$E,0))</f>
        <v>0</v>
      </c>
      <c r="O15" s="250">
        <f>INDEX(Weekly!K:K,MATCH($F15,Weekly!$E:$E,0))</f>
        <v>0</v>
      </c>
      <c r="P15" s="556">
        <f>INDEX(Weekly!M:M,MATCH($F15,Weekly!$E:$E,0))</f>
        <v>0</v>
      </c>
      <c r="Q15" s="656">
        <f>INDEX(Picks!J:J,MATCH(F15,Picks!A:A,0))</f>
        <v>65.5</v>
      </c>
      <c r="R15" s="657">
        <f>INDEX(Picks!I:I,MATCH(F15,Picks!A:A,0))</f>
        <v>-7</v>
      </c>
      <c r="S15" s="596"/>
      <c r="T15" s="76"/>
      <c r="U15" s="76"/>
      <c r="V15" s="76"/>
      <c r="W15" s="76"/>
      <c r="X15" s="76"/>
      <c r="Y15" s="76"/>
      <c r="Z15" s="76"/>
      <c r="AA15" s="76"/>
      <c r="AB15" s="76"/>
    </row>
    <row r="16" spans="1:28" ht="14.1" customHeight="1">
      <c r="A16" s="701"/>
      <c r="B16" s="1" t="str">
        <f t="shared" si="0"/>
        <v>A15</v>
      </c>
      <c r="C16" s="242" t="s">
        <v>253</v>
      </c>
      <c r="D16" s="1">
        <v>15</v>
      </c>
      <c r="E16" s="10" t="s">
        <v>221</v>
      </c>
      <c r="F16" s="4" t="s">
        <v>277</v>
      </c>
      <c r="G16" s="10" t="s">
        <v>221</v>
      </c>
      <c r="H16" s="513"/>
      <c r="I16" s="245">
        <f>INDEX(Weekly!F:F,MATCH($F16,Weekly!$E:$E,0))</f>
        <v>-32.550000000000004</v>
      </c>
      <c r="J16" s="269">
        <f>INDEX(Weekly!G:G,MATCH($F16,Weekly!$E:$E,0))</f>
        <v>4</v>
      </c>
      <c r="K16" s="125">
        <f>INDEX(Weekly!H:H,MATCH($F16,Weekly!$E:$E,0))</f>
        <v>-4.5999999999999996</v>
      </c>
      <c r="L16" s="274">
        <f>INDEX(Weekly!I:I,MATCH($F16,Weekly!$E:$E,0))</f>
        <v>1</v>
      </c>
      <c r="M16" s="250">
        <f>INDEX(Prizes!F:F,MATCH($B16,Prizes!A:A,0))</f>
        <v>0</v>
      </c>
      <c r="N16" s="413">
        <f>INDEX(Weekly!J:J,MATCH($F16,Weekly!$E:$E,0))</f>
        <v>0</v>
      </c>
      <c r="O16" s="250">
        <f>INDEX(Weekly!K:K,MATCH($F16,Weekly!$E:$E,0))</f>
        <v>0</v>
      </c>
      <c r="P16" s="556">
        <f>INDEX(Weekly!M:M,MATCH($F16,Weekly!$E:$E,0))</f>
        <v>0</v>
      </c>
      <c r="Q16" s="656">
        <f>INDEX(Picks!J:J,MATCH(F16,Picks!A:A,0))</f>
        <v>34.516999999999996</v>
      </c>
      <c r="R16" s="657">
        <f>INDEX(Picks!I:I,MATCH(F16,Picks!A:A,0))</f>
        <v>-4.5999999999999996</v>
      </c>
      <c r="S16" s="596"/>
      <c r="T16" s="76"/>
      <c r="U16" s="76"/>
      <c r="V16" s="76"/>
      <c r="W16" s="76"/>
      <c r="X16" s="76"/>
      <c r="Y16" s="76"/>
      <c r="Z16" s="76"/>
      <c r="AA16" s="76"/>
      <c r="AB16" s="76"/>
    </row>
    <row r="17" spans="1:28" ht="14.1" customHeight="1" thickBot="1">
      <c r="A17" s="701"/>
      <c r="B17" s="1" t="str">
        <f t="shared" si="0"/>
        <v>A16</v>
      </c>
      <c r="C17" s="244" t="s">
        <v>253</v>
      </c>
      <c r="D17" s="238">
        <v>16</v>
      </c>
      <c r="E17" s="511" t="s">
        <v>221</v>
      </c>
      <c r="F17" s="239" t="s">
        <v>266</v>
      </c>
      <c r="G17" s="511" t="s">
        <v>221</v>
      </c>
      <c r="H17" s="515"/>
      <c r="I17" s="247">
        <f>INDEX(Weekly!F:F,MATCH($F17,Weekly!$E:$E,0))</f>
        <v>-38.678571428571431</v>
      </c>
      <c r="J17" s="271">
        <f>INDEX(Weekly!G:G,MATCH($F17,Weekly!$E:$E,0))</f>
        <v>2</v>
      </c>
      <c r="K17" s="141">
        <f>INDEX(Weekly!H:H,MATCH($F17,Weekly!$E:$E,0))</f>
        <v>-7</v>
      </c>
      <c r="L17" s="276">
        <f>INDEX(Weekly!I:I,MATCH($F17,Weekly!$E:$E,0))</f>
        <v>0</v>
      </c>
      <c r="M17" s="253">
        <f>INDEX(Prizes!F:F,MATCH($B17,Prizes!A:A,0))</f>
        <v>0</v>
      </c>
      <c r="N17" s="254">
        <f>INDEX(Weekly!J:J,MATCH($F17,Weekly!$E:$E,0))</f>
        <v>0</v>
      </c>
      <c r="O17" s="253">
        <f>INDEX(Weekly!K:K,MATCH($F17,Weekly!$E:$E,0))</f>
        <v>0</v>
      </c>
      <c r="P17" s="558">
        <f>INDEX(Weekly!M:M,MATCH($F17,Weekly!$E:$E,0))</f>
        <v>0</v>
      </c>
      <c r="Q17" s="660">
        <f>INDEX(Picks!J:J,MATCH(F17,Picks!A:A,0))</f>
        <v>69.571999999999989</v>
      </c>
      <c r="R17" s="661">
        <f>INDEX(Picks!I:I,MATCH(F17,Picks!A:A,0))</f>
        <v>-7</v>
      </c>
      <c r="S17" s="596"/>
      <c r="T17" s="76"/>
      <c r="U17" s="76"/>
      <c r="V17" s="76"/>
      <c r="W17" s="76"/>
      <c r="X17" s="76"/>
      <c r="Y17" s="76"/>
      <c r="Z17" s="76"/>
      <c r="AA17" s="76"/>
      <c r="AB17" s="76"/>
    </row>
    <row r="18" spans="1:28" ht="14.1" customHeight="1">
      <c r="A18" s="700" t="s">
        <v>214</v>
      </c>
      <c r="B18" s="1" t="str">
        <f t="shared" si="0"/>
        <v>B1</v>
      </c>
      <c r="C18" s="241" t="s">
        <v>254</v>
      </c>
      <c r="D18" s="1">
        <v>1</v>
      </c>
      <c r="E18" s="10" t="s">
        <v>222</v>
      </c>
      <c r="F18" s="4" t="s">
        <v>288</v>
      </c>
      <c r="G18" s="10" t="s">
        <v>222</v>
      </c>
      <c r="H18" s="513"/>
      <c r="I18" s="245">
        <f>INDEX(Weekly!F:F,MATCH($F18,Weekly!$E:$E,0))</f>
        <v>36.950000000000003</v>
      </c>
      <c r="J18" s="269">
        <f>INDEX(Weekly!G:G,MATCH($F18,Weekly!$E:$E,0))</f>
        <v>11</v>
      </c>
      <c r="K18" s="125">
        <f>INDEX(Weekly!H:H,MATCH($F18,Weekly!$E:$E,0))</f>
        <v>16.990000000000002</v>
      </c>
      <c r="L18" s="274">
        <f>INDEX(Weekly!I:I,MATCH($F18,Weekly!$E:$E,0))</f>
        <v>3</v>
      </c>
      <c r="M18" s="250">
        <f>INDEX(Prizes!F:F,MATCH($B18,Prizes!A:A,0))</f>
        <v>55.125</v>
      </c>
      <c r="N18" s="413">
        <f>INDEX(Weekly!J:J,MATCH($F18,Weekly!$E:$E,0))</f>
        <v>25</v>
      </c>
      <c r="O18" s="250">
        <f>INDEX(Weekly!K:K,MATCH($F18,Weekly!$E:$E,0))</f>
        <v>0</v>
      </c>
      <c r="P18" s="556">
        <f>INDEX(Weekly!M:M,MATCH($F18,Weekly!$E:$E,0))</f>
        <v>80.125</v>
      </c>
      <c r="Q18" s="656">
        <f>INDEX(Picks!J:J,MATCH(F18,Picks!A:A,0))</f>
        <v>16.990000000000002</v>
      </c>
      <c r="R18" s="657">
        <f>INDEX(Picks!I:I,MATCH(F18,Picks!A:A,0))</f>
        <v>16.990000000000002</v>
      </c>
      <c r="S18" s="596"/>
      <c r="T18" s="76"/>
      <c r="U18" s="76"/>
      <c r="V18" s="76"/>
      <c r="W18" s="76"/>
      <c r="X18" s="76"/>
      <c r="Y18" s="76"/>
      <c r="Z18" s="76"/>
      <c r="AA18" s="76"/>
      <c r="AB18" s="76"/>
    </row>
    <row r="19" spans="1:28" ht="14.1" customHeight="1">
      <c r="A19" s="701"/>
      <c r="B19" s="1" t="str">
        <f t="shared" si="0"/>
        <v>B2</v>
      </c>
      <c r="C19" s="240" t="s">
        <v>254</v>
      </c>
      <c r="D19" s="1">
        <v>2</v>
      </c>
      <c r="E19" s="10" t="s">
        <v>222</v>
      </c>
      <c r="F19" s="4" t="s">
        <v>297</v>
      </c>
      <c r="G19" s="10" t="s">
        <v>222</v>
      </c>
      <c r="H19" s="513"/>
      <c r="I19" s="245">
        <f>INDEX(Weekly!F:F,MATCH($F19,Weekly!$E:$E,0))</f>
        <v>22.785085914085911</v>
      </c>
      <c r="J19" s="269">
        <f>INDEX(Weekly!G:G,MATCH($F19,Weekly!$E:$E,0))</f>
        <v>10</v>
      </c>
      <c r="K19" s="125">
        <f>INDEX(Weekly!H:H,MATCH($F19,Weekly!$E:$E,0))</f>
        <v>-1.4000000000000004</v>
      </c>
      <c r="L19" s="274">
        <f>INDEX(Weekly!I:I,MATCH($F19,Weekly!$E:$E,0))</f>
        <v>2</v>
      </c>
      <c r="M19" s="250">
        <f>INDEX(Prizes!F:F,MATCH($B19,Prizes!A:A,0))</f>
        <v>39.375</v>
      </c>
      <c r="N19" s="413">
        <f>INDEX(Weekly!J:J,MATCH($F19,Weekly!$E:$E,0))</f>
        <v>15</v>
      </c>
      <c r="O19" s="250">
        <f>INDEX(Weekly!K:K,MATCH($F19,Weekly!$E:$E,0))</f>
        <v>0</v>
      </c>
      <c r="P19" s="556">
        <f>INDEX(Weekly!M:M,MATCH($F19,Weekly!$E:$E,0))</f>
        <v>54.375</v>
      </c>
      <c r="Q19" s="656">
        <f>INDEX(Picks!J:J,MATCH(F19,Picks!A:A,0))</f>
        <v>7.0857142857142854</v>
      </c>
      <c r="R19" s="657">
        <f>INDEX(Picks!I:I,MATCH(F19,Picks!A:A,0))</f>
        <v>-1.4000000000000004</v>
      </c>
      <c r="S19" s="596"/>
      <c r="T19" s="76"/>
      <c r="U19" s="76"/>
      <c r="V19" s="76"/>
      <c r="W19" s="76"/>
      <c r="X19" s="76"/>
      <c r="Y19" s="76"/>
      <c r="Z19" s="76"/>
      <c r="AA19" s="76"/>
      <c r="AB19" s="76"/>
    </row>
    <row r="20" spans="1:28" ht="14.1" customHeight="1">
      <c r="A20" s="701"/>
      <c r="B20" s="1" t="str">
        <f t="shared" si="0"/>
        <v>B3</v>
      </c>
      <c r="C20" s="240" t="s">
        <v>254</v>
      </c>
      <c r="D20" s="1">
        <v>3</v>
      </c>
      <c r="E20" s="10" t="s">
        <v>222</v>
      </c>
      <c r="F20" s="4" t="s">
        <v>482</v>
      </c>
      <c r="G20" s="10" t="s">
        <v>222</v>
      </c>
      <c r="H20" s="513"/>
      <c r="I20" s="245">
        <f>INDEX(Weekly!F:F,MATCH($F20,Weekly!$E:$E,0))</f>
        <v>6.2209090909090916</v>
      </c>
      <c r="J20" s="269">
        <f>INDEX(Weekly!G:G,MATCH($F20,Weekly!$E:$E,0))</f>
        <v>10</v>
      </c>
      <c r="K20" s="125">
        <f>INDEX(Weekly!H:H,MATCH($F20,Weekly!$E:$E,0))</f>
        <v>0.59090909090909083</v>
      </c>
      <c r="L20" s="274">
        <f>INDEX(Weekly!I:I,MATCH($F20,Weekly!$E:$E,0))</f>
        <v>2</v>
      </c>
      <c r="M20" s="250">
        <f>INDEX(Prizes!F:F,MATCH($B20,Prizes!A:A,0))</f>
        <v>28.35</v>
      </c>
      <c r="N20" s="413">
        <f>INDEX(Weekly!J:J,MATCH($F20,Weekly!$E:$E,0))</f>
        <v>5</v>
      </c>
      <c r="O20" s="250">
        <f>INDEX(Weekly!K:K,MATCH($F20,Weekly!$E:$E,0))</f>
        <v>0</v>
      </c>
      <c r="P20" s="556">
        <f>INDEX(Weekly!M:M,MATCH($F20,Weekly!$E:$E,0))</f>
        <v>33.35</v>
      </c>
      <c r="Q20" s="656">
        <f>INDEX(Picks!J:J,MATCH(F20,Picks!A:A,0))</f>
        <v>29.799999999999997</v>
      </c>
      <c r="R20" s="657">
        <f>INDEX(Picks!I:I,MATCH(F20,Picks!A:A,0))</f>
        <v>0.59090909090909083</v>
      </c>
      <c r="S20" s="596"/>
      <c r="T20" s="76"/>
      <c r="U20" s="76"/>
      <c r="V20" s="76"/>
      <c r="W20" s="76"/>
      <c r="X20" s="76"/>
      <c r="Y20" s="76"/>
      <c r="Z20" s="76"/>
      <c r="AA20" s="76"/>
      <c r="AB20" s="76"/>
    </row>
    <row r="21" spans="1:28" ht="14.1" customHeight="1">
      <c r="A21" s="701"/>
      <c r="B21" s="1" t="str">
        <f t="shared" si="0"/>
        <v>B4</v>
      </c>
      <c r="C21" s="240" t="s">
        <v>254</v>
      </c>
      <c r="D21" s="1">
        <v>4</v>
      </c>
      <c r="E21" s="10" t="s">
        <v>222</v>
      </c>
      <c r="F21" s="4" t="s">
        <v>348</v>
      </c>
      <c r="G21" s="10" t="s">
        <v>222</v>
      </c>
      <c r="H21" s="513"/>
      <c r="I21" s="245">
        <f>INDEX(Weekly!F:F,MATCH($F21,Weekly!$E:$E,0))</f>
        <v>0.77499999999999858</v>
      </c>
      <c r="J21" s="269">
        <f>INDEX(Weekly!G:G,MATCH($F21,Weekly!$E:$E,0))</f>
        <v>6</v>
      </c>
      <c r="K21" s="125">
        <f>INDEX(Weekly!H:H,MATCH($F21,Weekly!$E:$E,0))</f>
        <v>9.6000000000000014</v>
      </c>
      <c r="L21" s="274">
        <f>INDEX(Weekly!I:I,MATCH($F21,Weekly!$E:$E,0))</f>
        <v>2</v>
      </c>
      <c r="M21" s="250">
        <f>INDEX(Prizes!F:F,MATCH($B21,Prizes!A:A,0))</f>
        <v>18.899999999999999</v>
      </c>
      <c r="N21" s="413">
        <f>INDEX(Weekly!J:J,MATCH($F21,Weekly!$E:$E,0))</f>
        <v>12.5</v>
      </c>
      <c r="O21" s="250">
        <f>INDEX(Weekly!K:K,MATCH($F21,Weekly!$E:$E,0))</f>
        <v>0</v>
      </c>
      <c r="P21" s="556">
        <f>INDEX(Weekly!M:M,MATCH($F21,Weekly!$E:$E,0))</f>
        <v>31.4</v>
      </c>
      <c r="Q21" s="656">
        <f>INDEX(Picks!J:J,MATCH(F21,Picks!A:A,0))</f>
        <v>53.6</v>
      </c>
      <c r="R21" s="657">
        <f>INDEX(Picks!I:I,MATCH(F21,Picks!A:A,0))</f>
        <v>9.6000000000000014</v>
      </c>
      <c r="S21" s="596"/>
      <c r="T21" s="76"/>
      <c r="U21" s="76"/>
      <c r="V21" s="76"/>
      <c r="W21" s="76"/>
      <c r="X21" s="76"/>
      <c r="Y21" s="76"/>
      <c r="Z21" s="76"/>
      <c r="AA21" s="76"/>
      <c r="AB21" s="76"/>
    </row>
    <row r="22" spans="1:28" ht="14.1" customHeight="1">
      <c r="A22" s="701"/>
      <c r="B22" s="1" t="str">
        <f t="shared" si="0"/>
        <v>B5</v>
      </c>
      <c r="C22" s="240" t="s">
        <v>254</v>
      </c>
      <c r="D22" s="1">
        <v>5</v>
      </c>
      <c r="E22" s="10" t="s">
        <v>222</v>
      </c>
      <c r="F22" s="4" t="s">
        <v>273</v>
      </c>
      <c r="G22" s="10" t="s">
        <v>222</v>
      </c>
      <c r="H22" s="513"/>
      <c r="I22" s="245">
        <f>INDEX(Weekly!F:F,MATCH($F22,Weekly!$E:$E,0))</f>
        <v>-9.7723214285714306</v>
      </c>
      <c r="J22" s="269">
        <f>INDEX(Weekly!G:G,MATCH($F22,Weekly!$E:$E,0))</f>
        <v>7</v>
      </c>
      <c r="K22" s="125">
        <f>INDEX(Weekly!H:H,MATCH($F22,Weekly!$E:$E,0))</f>
        <v>14.65625</v>
      </c>
      <c r="L22" s="274">
        <f>INDEX(Weekly!I:I,MATCH($F22,Weekly!$E:$E,0))</f>
        <v>3</v>
      </c>
      <c r="M22" s="250">
        <f>INDEX(Prizes!F:F,MATCH($B22,Prizes!A:A,0))</f>
        <v>11.025</v>
      </c>
      <c r="N22" s="413">
        <f>INDEX(Weekly!J:J,MATCH($F22,Weekly!$E:$E,0))</f>
        <v>5</v>
      </c>
      <c r="O22" s="250">
        <f>INDEX(Weekly!K:K,MATCH($F22,Weekly!$E:$E,0))</f>
        <v>0</v>
      </c>
      <c r="P22" s="556">
        <f>INDEX(Weekly!M:M,MATCH($F22,Weekly!$E:$E,0))</f>
        <v>16.024999999999999</v>
      </c>
      <c r="Q22" s="656">
        <f>INDEX(Picks!J:J,MATCH(F22,Picks!A:A,0))</f>
        <v>14.65625</v>
      </c>
      <c r="R22" s="657">
        <f>INDEX(Picks!I:I,MATCH(F22,Picks!A:A,0))</f>
        <v>14.65625</v>
      </c>
      <c r="S22" s="596"/>
      <c r="T22" s="76"/>
      <c r="U22" s="76"/>
      <c r="V22" s="76"/>
      <c r="W22" s="76"/>
      <c r="X22" s="76"/>
      <c r="Y22" s="76"/>
      <c r="Z22" s="76"/>
      <c r="AA22" s="76"/>
      <c r="AB22" s="76"/>
    </row>
    <row r="23" spans="1:28" ht="14.1" customHeight="1">
      <c r="A23" s="701"/>
      <c r="B23" s="10" t="str">
        <f t="shared" si="0"/>
        <v>B6</v>
      </c>
      <c r="C23" s="313" t="s">
        <v>254</v>
      </c>
      <c r="D23" s="326">
        <v>6</v>
      </c>
      <c r="E23" s="512" t="s">
        <v>222</v>
      </c>
      <c r="F23" s="674" t="s">
        <v>283</v>
      </c>
      <c r="G23" s="512" t="s">
        <v>222</v>
      </c>
      <c r="H23" s="516"/>
      <c r="I23" s="314">
        <f>INDEX(Weekly!F:F,MATCH($F23,Weekly!$E:$E,0))</f>
        <v>-11.387727272727272</v>
      </c>
      <c r="J23" s="315">
        <f>INDEX(Weekly!G:G,MATCH($F23,Weekly!$E:$E,0))</f>
        <v>7</v>
      </c>
      <c r="K23" s="316">
        <f>INDEX(Weekly!H:H,MATCH($F23,Weekly!$E:$E,0))</f>
        <v>-5.2727272727272725</v>
      </c>
      <c r="L23" s="317">
        <f>INDEX(Weekly!I:I,MATCH($F23,Weekly!$E:$E,0))</f>
        <v>1</v>
      </c>
      <c r="M23" s="319">
        <f>INDEX(Prizes!F:F,MATCH($B23,Prizes!A:A,0))</f>
        <v>4.7249999999999996</v>
      </c>
      <c r="N23" s="319">
        <f>INDEX(Weekly!J:J,MATCH($F23,Weekly!$E:$E,0))</f>
        <v>5</v>
      </c>
      <c r="O23" s="319">
        <f>INDEX(Weekly!K:K,MATCH($F23,Weekly!$E:$E,0))</f>
        <v>0</v>
      </c>
      <c r="P23" s="559">
        <f>INDEX(Weekly!M:M,MATCH($F23,Weekly!$E:$E,0))</f>
        <v>9.7249999999999996</v>
      </c>
      <c r="Q23" s="662">
        <f>INDEX(Picks!J:J,MATCH(F23,Picks!A:A,0))</f>
        <v>15.706818181818178</v>
      </c>
      <c r="R23" s="663">
        <f>INDEX(Picks!I:I,MATCH(F23,Picks!A:A,0))</f>
        <v>-5.2727272727272725</v>
      </c>
      <c r="S23" s="596"/>
      <c r="T23" s="76"/>
      <c r="U23" s="76"/>
      <c r="V23" s="76"/>
      <c r="W23" s="76"/>
      <c r="X23" s="76"/>
      <c r="Y23" s="76"/>
      <c r="Z23" s="76"/>
      <c r="AA23" s="76"/>
      <c r="AB23" s="76"/>
    </row>
    <row r="24" spans="1:28" ht="14.1" customHeight="1">
      <c r="A24" s="701"/>
      <c r="B24" s="1" t="str">
        <f t="shared" si="0"/>
        <v>B7</v>
      </c>
      <c r="C24" s="427" t="s">
        <v>252</v>
      </c>
      <c r="D24" s="1">
        <v>7</v>
      </c>
      <c r="E24" s="10" t="s">
        <v>222</v>
      </c>
      <c r="F24" s="4" t="s">
        <v>304</v>
      </c>
      <c r="G24" s="10" t="s">
        <v>222</v>
      </c>
      <c r="H24" s="513"/>
      <c r="I24" s="246">
        <f>INDEX(Weekly!F:F,MATCH($F24,Weekly!$E:$E,0))</f>
        <v>-14.828409090909091</v>
      </c>
      <c r="J24" s="270">
        <f>INDEX(Weekly!G:G,MATCH($F24,Weekly!$E:$E,0))</f>
        <v>8</v>
      </c>
      <c r="K24" s="126">
        <f>INDEX(Weekly!H:H,MATCH($F24,Weekly!$E:$E,0))</f>
        <v>2.25</v>
      </c>
      <c r="L24" s="275">
        <f>INDEX(Weekly!I:I,MATCH($F24,Weekly!$E:$E,0))</f>
        <v>2</v>
      </c>
      <c r="M24" s="250">
        <f>INDEX(Prizes!F:F,MATCH($B24,Prizes!A:A,0))</f>
        <v>0</v>
      </c>
      <c r="N24" s="413">
        <f>INDEX(Weekly!J:J,MATCH($F24,Weekly!$E:$E,0))</f>
        <v>0</v>
      </c>
      <c r="O24" s="250">
        <f>INDEX(Weekly!K:K,MATCH($F24,Weekly!$E:$E,0))</f>
        <v>0</v>
      </c>
      <c r="P24" s="556">
        <f>INDEX(Weekly!M:M,MATCH($F24,Weekly!$E:$E,0))</f>
        <v>0</v>
      </c>
      <c r="Q24" s="656">
        <f>INDEX(Picks!J:J,MATCH(F24,Picks!A:A,0))</f>
        <v>21.212499999999999</v>
      </c>
      <c r="R24" s="657">
        <f>INDEX(Picks!I:I,MATCH(F24,Picks!A:A,0))</f>
        <v>2.25</v>
      </c>
      <c r="S24" s="596"/>
      <c r="T24" s="76"/>
      <c r="U24" s="76"/>
      <c r="V24" s="76"/>
      <c r="W24" s="76"/>
      <c r="X24" s="76"/>
      <c r="Y24" s="76"/>
      <c r="Z24" s="76"/>
      <c r="AA24" s="76"/>
      <c r="AB24" s="76"/>
    </row>
    <row r="25" spans="1:28" ht="14.1" customHeight="1">
      <c r="A25" s="701"/>
      <c r="B25" s="1" t="str">
        <f t="shared" si="0"/>
        <v>B8</v>
      </c>
      <c r="C25" s="427" t="s">
        <v>252</v>
      </c>
      <c r="D25" s="1">
        <v>8</v>
      </c>
      <c r="E25" s="10" t="s">
        <v>222</v>
      </c>
      <c r="F25" s="4" t="s">
        <v>346</v>
      </c>
      <c r="G25" s="10" t="s">
        <v>222</v>
      </c>
      <c r="H25" s="513"/>
      <c r="I25" s="245">
        <f>INDEX(Weekly!F:F,MATCH($F25,Weekly!$E:$E,0))</f>
        <v>-15.609999999999998</v>
      </c>
      <c r="J25" s="269">
        <f>INDEX(Weekly!G:G,MATCH($F25,Weekly!$E:$E,0))</f>
        <v>5</v>
      </c>
      <c r="K25" s="125">
        <f>INDEX(Weekly!H:H,MATCH($F25,Weekly!$E:$E,0))</f>
        <v>5.9399999999999995</v>
      </c>
      <c r="L25" s="274">
        <f>INDEX(Weekly!I:I,MATCH($F25,Weekly!$E:$E,0))</f>
        <v>2</v>
      </c>
      <c r="M25" s="250">
        <f>INDEX(Prizes!F:F,MATCH($B25,Prizes!A:A,0))</f>
        <v>0</v>
      </c>
      <c r="N25" s="413">
        <f>INDEX(Weekly!J:J,MATCH($F25,Weekly!$E:$E,0))</f>
        <v>0</v>
      </c>
      <c r="O25" s="250">
        <f>INDEX(Weekly!K:K,MATCH($F25,Weekly!$E:$E,0))</f>
        <v>0</v>
      </c>
      <c r="P25" s="556">
        <f>INDEX(Weekly!M:M,MATCH($F25,Weekly!$E:$E,0))</f>
        <v>0</v>
      </c>
      <c r="Q25" s="656">
        <f>INDEX(Picks!J:J,MATCH(F25,Picks!A:A,0))</f>
        <v>42.184000000000005</v>
      </c>
      <c r="R25" s="657">
        <f>INDEX(Picks!I:I,MATCH(F25,Picks!A:A,0))</f>
        <v>5.9399999999999995</v>
      </c>
      <c r="S25" s="596"/>
      <c r="T25" s="76"/>
      <c r="U25" s="76"/>
      <c r="V25" s="76"/>
      <c r="W25" s="76"/>
      <c r="X25" s="76"/>
      <c r="Y25" s="76"/>
      <c r="Z25" s="76"/>
      <c r="AA25" s="76"/>
      <c r="AB25" s="76"/>
    </row>
    <row r="26" spans="1:28" ht="14.1" customHeight="1">
      <c r="A26" s="701"/>
      <c r="B26" s="1" t="str">
        <f t="shared" si="0"/>
        <v>B9</v>
      </c>
      <c r="C26" s="258" t="s">
        <v>252</v>
      </c>
      <c r="D26" s="10">
        <v>9</v>
      </c>
      <c r="E26" s="10" t="s">
        <v>222</v>
      </c>
      <c r="F26" s="4" t="s">
        <v>294</v>
      </c>
      <c r="G26" s="10" t="s">
        <v>222</v>
      </c>
      <c r="H26" s="513"/>
      <c r="I26" s="245">
        <f>INDEX(Weekly!F:F,MATCH($F26,Weekly!$E:$E,0))</f>
        <v>-15.649090909090908</v>
      </c>
      <c r="J26" s="269">
        <f>INDEX(Weekly!G:G,MATCH($F26,Weekly!$E:$E,0))</f>
        <v>8</v>
      </c>
      <c r="K26" s="125">
        <f>INDEX(Weekly!H:H,MATCH($F26,Weekly!$E:$E,0))</f>
        <v>-4.8</v>
      </c>
      <c r="L26" s="274">
        <f>INDEX(Weekly!I:I,MATCH($F26,Weekly!$E:$E,0))</f>
        <v>1</v>
      </c>
      <c r="M26" s="250">
        <f>INDEX(Prizes!F:F,MATCH($B26,Prizes!A:A,0))</f>
        <v>0</v>
      </c>
      <c r="N26" s="413">
        <f>INDEX(Weekly!J:J,MATCH($F26,Weekly!$E:$E,0))</f>
        <v>0</v>
      </c>
      <c r="O26" s="250">
        <f>INDEX(Weekly!K:K,MATCH($F26,Weekly!$E:$E,0))</f>
        <v>0</v>
      </c>
      <c r="P26" s="560">
        <f>INDEX(Weekly!M:M,MATCH($F26,Weekly!$E:$E,0))</f>
        <v>0</v>
      </c>
      <c r="Q26" s="656">
        <f>INDEX(Picks!J:J,MATCH(F26,Picks!A:A,0))</f>
        <v>22.338461538461541</v>
      </c>
      <c r="R26" s="664">
        <f>INDEX(Picks!I:I,MATCH(F26,Picks!A:A,0))</f>
        <v>-4.8</v>
      </c>
      <c r="S26" s="596"/>
      <c r="T26" s="76"/>
      <c r="U26" s="76"/>
      <c r="V26" s="76"/>
      <c r="W26" s="76"/>
      <c r="X26" s="76"/>
      <c r="Y26" s="76"/>
      <c r="Z26" s="76"/>
      <c r="AA26" s="76"/>
      <c r="AB26" s="76"/>
    </row>
    <row r="27" spans="1:28" ht="14.1" customHeight="1">
      <c r="A27" s="701"/>
      <c r="B27" s="1" t="str">
        <f t="shared" si="0"/>
        <v>B10</v>
      </c>
      <c r="C27" s="258" t="s">
        <v>252</v>
      </c>
      <c r="D27" s="1">
        <v>10</v>
      </c>
      <c r="E27" s="749" t="s">
        <v>222</v>
      </c>
      <c r="F27" s="751" t="s">
        <v>267</v>
      </c>
      <c r="G27" s="749" t="s">
        <v>222</v>
      </c>
      <c r="H27" s="752"/>
      <c r="I27" s="245">
        <f>INDEX(Weekly!F:F,MATCH($F27,Weekly!$E:$E,0))</f>
        <v>-15.702727272727273</v>
      </c>
      <c r="J27" s="754">
        <f>INDEX(Weekly!G:G,MATCH($F27,Weekly!$E:$E,0))</f>
        <v>6</v>
      </c>
      <c r="K27" s="756">
        <f>INDEX(Weekly!H:H,MATCH($F27,Weekly!$E:$E,0))</f>
        <v>-5.2727272727272725</v>
      </c>
      <c r="L27" s="274">
        <f>INDEX(Weekly!I:I,MATCH($F27,Weekly!$E:$E,0))</f>
        <v>1</v>
      </c>
      <c r="M27" s="250">
        <f>INDEX(Prizes!F:F,MATCH($B27,Prizes!A:A,0))</f>
        <v>0</v>
      </c>
      <c r="N27" s="413">
        <f>INDEX(Weekly!J:J,MATCH($F27,Weekly!$E:$E,0))</f>
        <v>5</v>
      </c>
      <c r="O27" s="250">
        <f>INDEX(Weekly!K:K,MATCH($F27,Weekly!$E:$E,0))</f>
        <v>0</v>
      </c>
      <c r="P27" s="556">
        <f>INDEX(Weekly!M:M,MATCH($F27,Weekly!$E:$E,0))</f>
        <v>5</v>
      </c>
      <c r="Q27" s="656">
        <f>INDEX(Picks!J:J,MATCH(F27,Picks!A:A,0))</f>
        <v>13.755244755244753</v>
      </c>
      <c r="R27" s="657">
        <f>INDEX(Picks!I:I,MATCH(F27,Picks!A:A,0))</f>
        <v>-5.2727272727272725</v>
      </c>
      <c r="S27" s="596"/>
      <c r="T27" s="76"/>
      <c r="U27" s="76"/>
      <c r="V27" s="76"/>
      <c r="W27" s="76"/>
      <c r="X27" s="76"/>
      <c r="Y27" s="76"/>
      <c r="Z27" s="76"/>
      <c r="AA27" s="76"/>
      <c r="AB27" s="76"/>
    </row>
    <row r="28" spans="1:28" ht="14.1" customHeight="1">
      <c r="A28" s="701"/>
      <c r="B28" s="10" t="str">
        <f t="shared" si="0"/>
        <v>B11</v>
      </c>
      <c r="C28" s="243" t="s">
        <v>253</v>
      </c>
      <c r="D28" s="324">
        <v>11</v>
      </c>
      <c r="E28" s="510" t="s">
        <v>222</v>
      </c>
      <c r="F28" s="320" t="s">
        <v>351</v>
      </c>
      <c r="G28" s="510" t="s">
        <v>222</v>
      </c>
      <c r="H28" s="514"/>
      <c r="I28" s="637">
        <f>INDEX(Weekly!F:F,MATCH($F28,Weekly!$E:$E,0))</f>
        <v>-17.649999999999999</v>
      </c>
      <c r="J28" s="638">
        <f>INDEX(Weekly!G:G,MATCH($F28,Weekly!$E:$E,0))</f>
        <v>4</v>
      </c>
      <c r="K28" s="639">
        <f>INDEX(Weekly!H:H,MATCH($F28,Weekly!$E:$E,0))</f>
        <v>6.35</v>
      </c>
      <c r="L28" s="640">
        <f>INDEX(Weekly!I:I,MATCH($F28,Weekly!$E:$E,0))</f>
        <v>2</v>
      </c>
      <c r="M28" s="321">
        <f>INDEX(Prizes!F:F,MATCH($B28,Prizes!A:A,0))</f>
        <v>0</v>
      </c>
      <c r="N28" s="322">
        <f>INDEX(Weekly!J:J,MATCH($F28,Weekly!$E:$E,0))</f>
        <v>0</v>
      </c>
      <c r="O28" s="321">
        <f>INDEX(Weekly!K:K,MATCH($F28,Weekly!$E:$E,0))</f>
        <v>0</v>
      </c>
      <c r="P28" s="557">
        <f>INDEX(Weekly!M:M,MATCH($F28,Weekly!$E:$E,0))</f>
        <v>0</v>
      </c>
      <c r="Q28" s="658">
        <f>INDEX(Picks!J:J,MATCH(F28,Picks!A:A,0))</f>
        <v>78.099999999999994</v>
      </c>
      <c r="R28" s="659">
        <f>INDEX(Picks!I:I,MATCH(F28,Picks!A:A,0))</f>
        <v>6.35</v>
      </c>
      <c r="S28" s="596"/>
      <c r="T28" s="76"/>
      <c r="U28" s="76"/>
      <c r="V28" s="76"/>
      <c r="W28" s="76"/>
      <c r="X28" s="76"/>
      <c r="Y28" s="76"/>
      <c r="Z28" s="76"/>
      <c r="AA28" s="76"/>
      <c r="AB28" s="76"/>
    </row>
    <row r="29" spans="1:28" ht="14.1" customHeight="1">
      <c r="A29" s="701"/>
      <c r="B29" s="1" t="str">
        <f t="shared" si="0"/>
        <v>B12</v>
      </c>
      <c r="C29" s="242" t="s">
        <v>253</v>
      </c>
      <c r="D29" s="1">
        <v>12</v>
      </c>
      <c r="E29" s="10" t="s">
        <v>222</v>
      </c>
      <c r="F29" s="4" t="s">
        <v>296</v>
      </c>
      <c r="G29" s="10" t="s">
        <v>222</v>
      </c>
      <c r="H29" s="513"/>
      <c r="I29" s="245">
        <f>INDEX(Weekly!F:F,MATCH($F29,Weekly!$E:$E,0))</f>
        <v>-20.5</v>
      </c>
      <c r="J29" s="269">
        <f>INDEX(Weekly!G:G,MATCH($F29,Weekly!$E:$E,0))</f>
        <v>3</v>
      </c>
      <c r="K29" s="125">
        <f>INDEX(Weekly!H:H,MATCH($F29,Weekly!$E:$E,0))</f>
        <v>-7</v>
      </c>
      <c r="L29" s="274">
        <f>INDEX(Weekly!I:I,MATCH($F29,Weekly!$E:$E,0))</f>
        <v>0</v>
      </c>
      <c r="M29" s="250">
        <f>INDEX(Prizes!F:F,MATCH($B29,Prizes!A:A,0))</f>
        <v>0</v>
      </c>
      <c r="N29" s="413">
        <f>INDEX(Weekly!J:J,MATCH($F29,Weekly!$E:$E,0))</f>
        <v>5</v>
      </c>
      <c r="O29" s="250">
        <f>INDEX(Weekly!K:K,MATCH($F29,Weekly!$E:$E,0))</f>
        <v>0</v>
      </c>
      <c r="P29" s="556">
        <f>INDEX(Weekly!M:M,MATCH($F29,Weekly!$E:$E,0))</f>
        <v>5</v>
      </c>
      <c r="Q29" s="656">
        <f>INDEX(Picks!J:J,MATCH(F29,Picks!A:A,0))</f>
        <v>26.177500000000002</v>
      </c>
      <c r="R29" s="657">
        <f>INDEX(Picks!I:I,MATCH(F29,Picks!A:A,0))</f>
        <v>-7</v>
      </c>
      <c r="S29" s="596"/>
      <c r="T29" s="76"/>
      <c r="U29" s="76"/>
      <c r="V29" s="76"/>
      <c r="W29" s="76"/>
      <c r="X29" s="76"/>
      <c r="Y29" s="76"/>
      <c r="Z29" s="76"/>
      <c r="AA29" s="76"/>
      <c r="AB29" s="76"/>
    </row>
    <row r="30" spans="1:28" ht="14.1" customHeight="1">
      <c r="A30" s="701"/>
      <c r="B30" s="1" t="str">
        <f t="shared" si="0"/>
        <v>B13</v>
      </c>
      <c r="C30" s="242" t="s">
        <v>253</v>
      </c>
      <c r="D30" s="1">
        <v>13</v>
      </c>
      <c r="E30" s="10" t="s">
        <v>222</v>
      </c>
      <c r="F30" s="4" t="s">
        <v>350</v>
      </c>
      <c r="G30" s="10" t="s">
        <v>222</v>
      </c>
      <c r="H30" s="513"/>
      <c r="I30" s="245">
        <f>INDEX(Weekly!F:F,MATCH($F30,Weekly!$E:$E,0))</f>
        <v>-25.856363636363632</v>
      </c>
      <c r="J30" s="269">
        <f>INDEX(Weekly!G:G,MATCH($F30,Weekly!$E:$E,0))</f>
        <v>5</v>
      </c>
      <c r="K30" s="125">
        <f>INDEX(Weekly!H:H,MATCH($F30,Weekly!$E:$E,0))</f>
        <v>-7</v>
      </c>
      <c r="L30" s="274">
        <f>INDEX(Weekly!I:I,MATCH($F30,Weekly!$E:$E,0))</f>
        <v>0</v>
      </c>
      <c r="M30" s="250">
        <f>INDEX(Prizes!F:F,MATCH($B30,Prizes!A:A,0))</f>
        <v>0</v>
      </c>
      <c r="N30" s="413">
        <f>INDEX(Weekly!J:J,MATCH($F30,Weekly!$E:$E,0))</f>
        <v>5</v>
      </c>
      <c r="O30" s="250">
        <f>INDEX(Weekly!K:K,MATCH($F30,Weekly!$E:$E,0))</f>
        <v>0</v>
      </c>
      <c r="P30" s="556">
        <f>INDEX(Weekly!M:M,MATCH($F30,Weekly!$E:$E,0))</f>
        <v>5</v>
      </c>
      <c r="Q30" s="656" t="str">
        <f>INDEX(Picks!J:J,MATCH(F30,Picks!A:A,0))</f>
        <v/>
      </c>
      <c r="R30" s="657">
        <f>INDEX(Picks!I:I,MATCH(F30,Picks!A:A,0))</f>
        <v>-10</v>
      </c>
      <c r="S30" s="596"/>
      <c r="T30" s="76"/>
      <c r="U30" s="76"/>
      <c r="V30" s="76"/>
      <c r="W30" s="76"/>
      <c r="X30" s="76"/>
      <c r="Y30" s="76"/>
      <c r="Z30" s="76"/>
      <c r="AA30" s="76"/>
      <c r="AB30" s="76"/>
    </row>
    <row r="31" spans="1:28" ht="14.1" customHeight="1">
      <c r="A31" s="701"/>
      <c r="B31" s="1" t="str">
        <f t="shared" si="0"/>
        <v>B14</v>
      </c>
      <c r="C31" s="242" t="s">
        <v>253</v>
      </c>
      <c r="D31" s="1">
        <v>14</v>
      </c>
      <c r="E31" s="749" t="s">
        <v>222</v>
      </c>
      <c r="F31" s="751" t="s">
        <v>518</v>
      </c>
      <c r="G31" s="749" t="s">
        <v>222</v>
      </c>
      <c r="H31" s="752"/>
      <c r="I31" s="245">
        <f>INDEX(Weekly!F:F,MATCH($F31,Weekly!$E:$E,0))</f>
        <v>-26.416666666666664</v>
      </c>
      <c r="J31" s="754">
        <f>INDEX(Weekly!G:G,MATCH($F31,Weekly!$E:$E,0))</f>
        <v>4</v>
      </c>
      <c r="K31" s="756">
        <f>INDEX(Weekly!H:H,MATCH($F31,Weekly!$E:$E,0))</f>
        <v>-7</v>
      </c>
      <c r="L31" s="274">
        <f>INDEX(Weekly!I:I,MATCH($F31,Weekly!$E:$E,0))</f>
        <v>0</v>
      </c>
      <c r="M31" s="250">
        <f>INDEX(Prizes!F:F,MATCH($B31,Prizes!A:A,0))</f>
        <v>0</v>
      </c>
      <c r="N31" s="413">
        <f>INDEX(Weekly!J:J,MATCH($F31,Weekly!$E:$E,0))</f>
        <v>0</v>
      </c>
      <c r="O31" s="250">
        <f>INDEX(Weekly!K:K,MATCH($F31,Weekly!$E:$E,0))</f>
        <v>0</v>
      </c>
      <c r="P31" s="556">
        <f>INDEX(Weekly!M:M,MATCH($F31,Weekly!$E:$E,0))</f>
        <v>0</v>
      </c>
      <c r="Q31" s="656">
        <f>INDEX(Picks!J:J,MATCH(F31,Picks!A:A,0))</f>
        <v>33.440000000000005</v>
      </c>
      <c r="R31" s="657">
        <f>INDEX(Picks!I:I,MATCH(F31,Picks!A:A,0))</f>
        <v>-7</v>
      </c>
      <c r="S31" s="596"/>
      <c r="T31" s="76"/>
      <c r="U31" s="76"/>
      <c r="V31" s="76"/>
      <c r="W31" s="76"/>
      <c r="X31" s="76"/>
      <c r="Y31" s="76"/>
      <c r="Z31" s="76"/>
      <c r="AA31" s="76"/>
      <c r="AB31" s="76"/>
    </row>
    <row r="32" spans="1:28" ht="14.1" customHeight="1">
      <c r="A32" s="701"/>
      <c r="B32" s="1" t="str">
        <f t="shared" si="0"/>
        <v>B15</v>
      </c>
      <c r="C32" s="242" t="s">
        <v>253</v>
      </c>
      <c r="D32" s="10">
        <v>15</v>
      </c>
      <c r="E32" s="749" t="s">
        <v>222</v>
      </c>
      <c r="F32" s="750" t="s">
        <v>271</v>
      </c>
      <c r="G32" s="749" t="s">
        <v>222</v>
      </c>
      <c r="H32" s="752"/>
      <c r="I32" s="245">
        <f>INDEX(Weekly!F:F,MATCH($F32,Weekly!$E:$E,0))</f>
        <v>-36.049999999999997</v>
      </c>
      <c r="J32" s="754">
        <f>INDEX(Weekly!G:G,MATCH($F32,Weekly!$E:$E,0))</f>
        <v>3</v>
      </c>
      <c r="K32" s="756">
        <f>INDEX(Weekly!H:H,MATCH($F32,Weekly!$E:$E,0))</f>
        <v>-5.5</v>
      </c>
      <c r="L32" s="274">
        <f>INDEX(Weekly!I:I,MATCH($F32,Weekly!$E:$E,0))</f>
        <v>1</v>
      </c>
      <c r="M32" s="250">
        <f>INDEX(Prizes!F:F,MATCH($B32,Prizes!A:A,0))</f>
        <v>0</v>
      </c>
      <c r="N32" s="413">
        <f>INDEX(Weekly!J:J,MATCH($F32,Weekly!$E:$E,0))</f>
        <v>0</v>
      </c>
      <c r="O32" s="250">
        <f>INDEX(Weekly!K:K,MATCH($F32,Weekly!$E:$E,0))</f>
        <v>0</v>
      </c>
      <c r="P32" s="556">
        <f>INDEX(Weekly!M:M,MATCH($F32,Weekly!$E:$E,0))</f>
        <v>0</v>
      </c>
      <c r="Q32" s="656">
        <f>INDEX(Picks!J:J,MATCH(F32,Picks!A:A,0))</f>
        <v>16.800000000000004</v>
      </c>
      <c r="R32" s="657">
        <f>INDEX(Picks!I:I,MATCH(F32,Picks!A:A,0))</f>
        <v>-5.5</v>
      </c>
      <c r="S32" s="596"/>
      <c r="T32" s="76"/>
      <c r="U32" s="76"/>
      <c r="V32" s="76"/>
      <c r="W32" s="76"/>
      <c r="X32" s="76"/>
      <c r="Y32" s="76"/>
      <c r="Z32" s="76"/>
      <c r="AA32" s="76"/>
      <c r="AB32" s="76"/>
    </row>
    <row r="33" spans="1:28" ht="14.1" customHeight="1" thickBot="1">
      <c r="A33" s="701"/>
      <c r="B33" s="1" t="str">
        <f t="shared" si="0"/>
        <v>B16</v>
      </c>
      <c r="C33" s="244" t="s">
        <v>253</v>
      </c>
      <c r="D33" s="238">
        <v>16</v>
      </c>
      <c r="E33" s="511" t="s">
        <v>222</v>
      </c>
      <c r="F33" s="239" t="s">
        <v>290</v>
      </c>
      <c r="G33" s="511" t="s">
        <v>222</v>
      </c>
      <c r="H33" s="515"/>
      <c r="I33" s="247">
        <f>INDEX(Weekly!F:F,MATCH($F33,Weekly!$E:$E,0))</f>
        <v>-36.518181818181816</v>
      </c>
      <c r="J33" s="271">
        <f>INDEX(Weekly!G:G,MATCH($F33,Weekly!$E:$E,0))</f>
        <v>3</v>
      </c>
      <c r="K33" s="141">
        <f>INDEX(Weekly!H:H,MATCH($F33,Weekly!$E:$E,0))</f>
        <v>-7</v>
      </c>
      <c r="L33" s="276">
        <f>INDEX(Weekly!I:I,MATCH($F33,Weekly!$E:$E,0))</f>
        <v>0</v>
      </c>
      <c r="M33" s="254">
        <f>INDEX(Prizes!F:F,MATCH($B33,Prizes!A:A,0))</f>
        <v>0</v>
      </c>
      <c r="N33" s="254">
        <f>INDEX(Weekly!J:J,MATCH($F33,Weekly!$E:$E,0))</f>
        <v>0</v>
      </c>
      <c r="O33" s="254">
        <f>INDEX(Weekly!K:K,MATCH($F33,Weekly!$E:$E,0))</f>
        <v>0</v>
      </c>
      <c r="P33" s="561">
        <f>INDEX(Weekly!M:M,MATCH($F33,Weekly!$E:$E,0))</f>
        <v>0</v>
      </c>
      <c r="Q33" s="665">
        <f>INDEX(Picks!J:J,MATCH(F33,Picks!A:A,0))</f>
        <v>58.74799999999999</v>
      </c>
      <c r="R33" s="666">
        <f>INDEX(Picks!I:I,MATCH(F33,Picks!A:A,0))</f>
        <v>-7</v>
      </c>
      <c r="S33" s="596"/>
      <c r="T33" s="76"/>
      <c r="U33" s="76"/>
      <c r="V33" s="76"/>
      <c r="W33" s="76"/>
      <c r="X33" s="76"/>
      <c r="Y33" s="76"/>
      <c r="Z33" s="76"/>
      <c r="AA33" s="76"/>
      <c r="AB33" s="76"/>
    </row>
    <row r="34" spans="1:28" ht="14.1" customHeight="1">
      <c r="A34" s="702" t="s">
        <v>215</v>
      </c>
      <c r="B34" s="1" t="str">
        <f t="shared" ref="B34:B45" si="1">CONCATENATE(E34,D34)</f>
        <v>C1</v>
      </c>
      <c r="C34" s="240" t="s">
        <v>254</v>
      </c>
      <c r="D34" s="1">
        <v>1</v>
      </c>
      <c r="E34" s="10" t="s">
        <v>223</v>
      </c>
      <c r="F34" s="4" t="s">
        <v>512</v>
      </c>
      <c r="G34" s="10" t="s">
        <v>223</v>
      </c>
      <c r="H34" s="513"/>
      <c r="I34" s="245">
        <f>INDEX(Weekly!F:F,MATCH($F34,Weekly!$E:$E,0))</f>
        <v>32.941796085858584</v>
      </c>
      <c r="J34" s="269">
        <f>INDEX(Weekly!G:G,MATCH($F34,Weekly!$E:$E,0))</f>
        <v>12</v>
      </c>
      <c r="K34" s="125">
        <f>INDEX(Weekly!H:H,MATCH($F34,Weekly!$E:$E,0))</f>
        <v>-5.6363636363636367</v>
      </c>
      <c r="L34" s="274">
        <f>INDEX(Weekly!I:I,MATCH($F34,Weekly!$E:$E,0))</f>
        <v>1</v>
      </c>
      <c r="M34" s="250">
        <f>INDEX(Prizes!F:F,MATCH($B34,Prizes!A:A,0))</f>
        <v>23.625</v>
      </c>
      <c r="N34" s="413">
        <f>INDEX(Weekly!J:J,MATCH($F34,Weekly!$E:$E,0))</f>
        <v>20</v>
      </c>
      <c r="O34" s="250">
        <f>INDEX(Weekly!K:K,MATCH($F34,Weekly!$E:$E,0))</f>
        <v>0</v>
      </c>
      <c r="P34" s="556">
        <f>INDEX(Weekly!M:M,MATCH($F34,Weekly!$E:$E,0))</f>
        <v>43.625</v>
      </c>
      <c r="Q34" s="656">
        <f>INDEX(Picks!J:J,MATCH(F34,Picks!A:A,0))</f>
        <v>10.530909090909091</v>
      </c>
      <c r="R34" s="657">
        <f>INDEX(Picks!I:I,MATCH(F34,Picks!A:A,0))</f>
        <v>-5.6363636363636367</v>
      </c>
      <c r="S34" s="596"/>
      <c r="T34" s="76"/>
      <c r="U34" s="76"/>
      <c r="V34" s="76"/>
      <c r="W34" s="76"/>
      <c r="X34" s="76"/>
      <c r="Y34" s="76"/>
      <c r="Z34" s="76"/>
      <c r="AA34" s="76"/>
      <c r="AB34" s="76"/>
    </row>
    <row r="35" spans="1:28" ht="14.1" customHeight="1">
      <c r="A35" s="703"/>
      <c r="B35" s="1" t="str">
        <f t="shared" si="1"/>
        <v>C2</v>
      </c>
      <c r="C35" s="240" t="s">
        <v>254</v>
      </c>
      <c r="D35" s="1">
        <v>2</v>
      </c>
      <c r="E35" s="10" t="s">
        <v>223</v>
      </c>
      <c r="F35" s="4" t="s">
        <v>541</v>
      </c>
      <c r="G35" s="10" t="s">
        <v>223</v>
      </c>
      <c r="H35" s="513"/>
      <c r="I35" s="245">
        <f>INDEX(Weekly!F:F,MATCH($F35,Weekly!$E:$E,0))</f>
        <v>17.555000000000003</v>
      </c>
      <c r="J35" s="269">
        <f>INDEX(Weekly!G:G,MATCH($F35,Weekly!$E:$E,0))</f>
        <v>9</v>
      </c>
      <c r="K35" s="125">
        <f>INDEX(Weekly!H:H,MATCH($F35,Weekly!$E:$E,0))</f>
        <v>-7</v>
      </c>
      <c r="L35" s="274">
        <f>INDEX(Weekly!I:I,MATCH($F35,Weekly!$E:$E,0))</f>
        <v>0</v>
      </c>
      <c r="M35" s="250">
        <f>INDEX(Prizes!F:F,MATCH($B35,Prizes!A:A,0))</f>
        <v>16.875</v>
      </c>
      <c r="N35" s="413">
        <f>INDEX(Weekly!J:J,MATCH($F35,Weekly!$E:$E,0))</f>
        <v>10</v>
      </c>
      <c r="O35" s="250">
        <f>INDEX(Weekly!K:K,MATCH($F35,Weekly!$E:$E,0))</f>
        <v>0</v>
      </c>
      <c r="P35" s="556">
        <f>INDEX(Weekly!M:M,MATCH($F35,Weekly!$E:$E,0))</f>
        <v>26.875</v>
      </c>
      <c r="Q35" s="656">
        <f>INDEX(Picks!J:J,MATCH(F35,Picks!A:A,0))</f>
        <v>50.719000000000001</v>
      </c>
      <c r="R35" s="657">
        <f>INDEX(Picks!I:I,MATCH(F35,Picks!A:A,0))</f>
        <v>-7</v>
      </c>
      <c r="S35" s="596"/>
      <c r="T35" s="76"/>
      <c r="U35" s="76"/>
      <c r="V35" s="76"/>
      <c r="W35" s="76"/>
      <c r="X35" s="76"/>
      <c r="Y35" s="76"/>
      <c r="Z35" s="76"/>
      <c r="AA35" s="76"/>
      <c r="AB35" s="76"/>
    </row>
    <row r="36" spans="1:28" ht="14.1" customHeight="1">
      <c r="A36" s="703"/>
      <c r="B36" s="10" t="str">
        <f t="shared" si="1"/>
        <v>C3</v>
      </c>
      <c r="C36" s="241" t="s">
        <v>254</v>
      </c>
      <c r="D36" s="1">
        <v>3</v>
      </c>
      <c r="E36" s="10" t="s">
        <v>223</v>
      </c>
      <c r="F36" s="14" t="s">
        <v>298</v>
      </c>
      <c r="G36" s="10" t="s">
        <v>223</v>
      </c>
      <c r="H36" s="513"/>
      <c r="I36" s="245">
        <f>INDEX(Weekly!F:F,MATCH($F36,Weekly!$E:$E,0))</f>
        <v>-4.8249999999999993</v>
      </c>
      <c r="J36" s="269">
        <f>INDEX(Weekly!G:G,MATCH($F36,Weekly!$E:$E,0))</f>
        <v>5</v>
      </c>
      <c r="K36" s="125">
        <f>INDEX(Weekly!H:H,MATCH($F36,Weekly!$E:$E,0))</f>
        <v>9.6000000000000014</v>
      </c>
      <c r="L36" s="274">
        <f>INDEX(Weekly!I:I,MATCH($F36,Weekly!$E:$E,0))</f>
        <v>2</v>
      </c>
      <c r="M36" s="250">
        <f>INDEX(Prizes!F:F,MATCH($B36,Prizes!A:A,0))</f>
        <v>12.15</v>
      </c>
      <c r="N36" s="413">
        <f>INDEX(Weekly!J:J,MATCH($F36,Weekly!$E:$E,0))</f>
        <v>7.5</v>
      </c>
      <c r="O36" s="250">
        <f>INDEX(Weekly!K:K,MATCH($F36,Weekly!$E:$E,0))</f>
        <v>0</v>
      </c>
      <c r="P36" s="560">
        <f>INDEX(Weekly!M:M,MATCH($F36,Weekly!$E:$E,0))</f>
        <v>19.649999999999999</v>
      </c>
      <c r="Q36" s="656">
        <f>INDEX(Picks!J:J,MATCH(F36,Picks!A:A,0))</f>
        <v>72.960000000000008</v>
      </c>
      <c r="R36" s="664">
        <f>INDEX(Picks!I:I,MATCH(F36,Picks!A:A,0))</f>
        <v>9.6000000000000014</v>
      </c>
      <c r="S36" s="596"/>
      <c r="T36" s="76"/>
      <c r="U36" s="76"/>
      <c r="V36" s="76"/>
      <c r="W36" s="76"/>
      <c r="X36" s="76"/>
      <c r="Y36" s="76"/>
      <c r="Z36" s="76"/>
      <c r="AA36" s="76"/>
      <c r="AB36" s="76"/>
    </row>
    <row r="37" spans="1:28" ht="14.1" customHeight="1">
      <c r="A37" s="703"/>
      <c r="B37" s="1" t="str">
        <f t="shared" si="1"/>
        <v>C4</v>
      </c>
      <c r="C37" s="240" t="s">
        <v>254</v>
      </c>
      <c r="D37" s="1">
        <v>4</v>
      </c>
      <c r="E37" s="10" t="s">
        <v>223</v>
      </c>
      <c r="F37" s="4" t="s">
        <v>517</v>
      </c>
      <c r="G37" s="10" t="s">
        <v>223</v>
      </c>
      <c r="H37" s="513"/>
      <c r="I37" s="245">
        <f>INDEX(Weekly!F:F,MATCH($F37,Weekly!$E:$E,0))</f>
        <v>-8.6601282051282062</v>
      </c>
      <c r="J37" s="269">
        <f>INDEX(Weekly!G:G,MATCH($F37,Weekly!$E:$E,0))</f>
        <v>7</v>
      </c>
      <c r="K37" s="125">
        <f>INDEX(Weekly!H:H,MATCH($F37,Weekly!$E:$E,0))</f>
        <v>-5.15</v>
      </c>
      <c r="L37" s="274">
        <f>INDEX(Weekly!I:I,MATCH($F37,Weekly!$E:$E,0))</f>
        <v>1</v>
      </c>
      <c r="M37" s="250">
        <f>INDEX(Prizes!F:F,MATCH($B37,Prizes!A:A,0))</f>
        <v>8.1</v>
      </c>
      <c r="N37" s="413">
        <f>INDEX(Weekly!J:J,MATCH($F37,Weekly!$E:$E,0))</f>
        <v>0</v>
      </c>
      <c r="O37" s="250">
        <f>INDEX(Weekly!K:K,MATCH($F37,Weekly!$E:$E,0))</f>
        <v>0</v>
      </c>
      <c r="P37" s="556">
        <f>INDEX(Weekly!M:M,MATCH($F37,Weekly!$E:$E,0))</f>
        <v>8.1</v>
      </c>
      <c r="Q37" s="656">
        <f>INDEX(Picks!J:J,MATCH(F37,Picks!A:A,0))</f>
        <v>44.725000000000009</v>
      </c>
      <c r="R37" s="657">
        <f>INDEX(Picks!I:I,MATCH(F37,Picks!A:A,0))</f>
        <v>-5.15</v>
      </c>
      <c r="S37" s="596"/>
      <c r="T37" s="76"/>
      <c r="U37" s="76"/>
      <c r="V37" s="76"/>
      <c r="W37" s="76"/>
      <c r="X37" s="76"/>
      <c r="Y37" s="76"/>
      <c r="Z37" s="76"/>
      <c r="AA37" s="76"/>
      <c r="AB37" s="76"/>
    </row>
    <row r="38" spans="1:28" ht="14.1" customHeight="1">
      <c r="A38" s="703"/>
      <c r="B38" s="1" t="str">
        <f t="shared" si="1"/>
        <v>C5</v>
      </c>
      <c r="C38" s="240" t="s">
        <v>254</v>
      </c>
      <c r="D38" s="1">
        <v>5</v>
      </c>
      <c r="E38" s="10" t="s">
        <v>223</v>
      </c>
      <c r="F38" s="4" t="s">
        <v>495</v>
      </c>
      <c r="G38" s="10" t="s">
        <v>223</v>
      </c>
      <c r="H38" s="513"/>
      <c r="I38" s="245">
        <f>INDEX(Weekly!F:F,MATCH($F38,Weekly!$E:$E,0))</f>
        <v>-9.3671900826446262</v>
      </c>
      <c r="J38" s="269">
        <f>INDEX(Weekly!G:G,MATCH($F38,Weekly!$E:$E,0))</f>
        <v>8</v>
      </c>
      <c r="K38" s="125">
        <f>INDEX(Weekly!H:H,MATCH($F38,Weekly!$E:$E,0))</f>
        <v>-4.8</v>
      </c>
      <c r="L38" s="274">
        <f>INDEX(Weekly!I:I,MATCH($F38,Weekly!$E:$E,0))</f>
        <v>1</v>
      </c>
      <c r="M38" s="250">
        <f>INDEX(Prizes!F:F,MATCH($B38,Prizes!A:A,0))</f>
        <v>4.7249999999999996</v>
      </c>
      <c r="N38" s="413">
        <f>INDEX(Weekly!J:J,MATCH($F38,Weekly!$E:$E,0))</f>
        <v>0</v>
      </c>
      <c r="O38" s="250">
        <f>INDEX(Weekly!K:K,MATCH($F38,Weekly!$E:$E,0))</f>
        <v>0</v>
      </c>
      <c r="P38" s="556">
        <f>INDEX(Weekly!M:M,MATCH($F38,Weekly!$E:$E,0))</f>
        <v>4.7249999999999996</v>
      </c>
      <c r="Q38" s="656">
        <f>INDEX(Picks!J:J,MATCH(F38,Picks!A:A,0))</f>
        <v>17.080000000000005</v>
      </c>
      <c r="R38" s="657">
        <f>INDEX(Picks!I:I,MATCH(F38,Picks!A:A,0))</f>
        <v>-4.8</v>
      </c>
      <c r="S38" s="596"/>
      <c r="T38" s="76"/>
      <c r="U38" s="76"/>
      <c r="V38" s="76"/>
      <c r="W38" s="76"/>
      <c r="X38" s="76"/>
      <c r="Y38" s="76"/>
      <c r="Z38" s="76"/>
      <c r="AA38" s="76"/>
      <c r="AB38" s="76"/>
    </row>
    <row r="39" spans="1:28" ht="14.1" customHeight="1">
      <c r="A39" s="703"/>
      <c r="B39" s="1" t="str">
        <f t="shared" si="1"/>
        <v>C6</v>
      </c>
      <c r="C39" s="325" t="s">
        <v>254</v>
      </c>
      <c r="D39" s="326">
        <v>6</v>
      </c>
      <c r="E39" s="512" t="s">
        <v>223</v>
      </c>
      <c r="F39" s="674" t="s">
        <v>479</v>
      </c>
      <c r="G39" s="512" t="s">
        <v>223</v>
      </c>
      <c r="H39" s="516"/>
      <c r="I39" s="314">
        <f>INDEX(Weekly!F:F,MATCH($F39,Weekly!$E:$E,0))</f>
        <v>-10.729999999999995</v>
      </c>
      <c r="J39" s="315">
        <f>INDEX(Weekly!G:G,MATCH($F39,Weekly!$E:$E,0))</f>
        <v>6</v>
      </c>
      <c r="K39" s="316">
        <f>INDEX(Weekly!H:H,MATCH($F39,Weekly!$E:$E,0))</f>
        <v>-3.9</v>
      </c>
      <c r="L39" s="317">
        <f>INDEX(Weekly!I:I,MATCH($F39,Weekly!$E:$E,0))</f>
        <v>1</v>
      </c>
      <c r="M39" s="318">
        <f>INDEX(Prizes!F:F,MATCH($B39,Prizes!A:A,0))</f>
        <v>2.0249999999999999</v>
      </c>
      <c r="N39" s="319">
        <f>INDEX(Weekly!J:J,MATCH($F39,Weekly!$E:$E,0))</f>
        <v>5</v>
      </c>
      <c r="O39" s="318">
        <f>INDEX(Weekly!K:K,MATCH($F39,Weekly!$E:$E,0))</f>
        <v>0</v>
      </c>
      <c r="P39" s="559">
        <f>INDEX(Weekly!M:M,MATCH($F39,Weekly!$E:$E,0))</f>
        <v>7.0250000000000004</v>
      </c>
      <c r="Q39" s="667">
        <f>INDEX(Picks!J:J,MATCH(F39,Picks!A:A,0))</f>
        <v>64.283000000000001</v>
      </c>
      <c r="R39" s="663">
        <f>INDEX(Picks!I:I,MATCH(F39,Picks!A:A,0))</f>
        <v>-3.9</v>
      </c>
      <c r="S39" s="596"/>
      <c r="T39" s="76"/>
      <c r="U39" s="76"/>
      <c r="V39" s="76"/>
      <c r="W39" s="76"/>
      <c r="X39" s="76"/>
      <c r="Y39" s="76"/>
      <c r="Z39" s="76"/>
      <c r="AA39" s="76"/>
      <c r="AB39" s="76"/>
    </row>
    <row r="40" spans="1:28" ht="14.1" customHeight="1">
      <c r="A40" s="703"/>
      <c r="B40" s="1" t="str">
        <f t="shared" si="1"/>
        <v>C7</v>
      </c>
      <c r="C40" s="258" t="s">
        <v>252</v>
      </c>
      <c r="D40" s="10">
        <v>7</v>
      </c>
      <c r="E40" s="10" t="s">
        <v>223</v>
      </c>
      <c r="F40" s="4" t="s">
        <v>488</v>
      </c>
      <c r="G40" s="10" t="s">
        <v>223</v>
      </c>
      <c r="H40" s="513"/>
      <c r="I40" s="245">
        <f>INDEX(Weekly!F:F,MATCH($F40,Weekly!$E:$E,0))</f>
        <v>-12.266477272727276</v>
      </c>
      <c r="J40" s="269">
        <f>INDEX(Weekly!G:G,MATCH($F40,Weekly!$E:$E,0))</f>
        <v>9</v>
      </c>
      <c r="K40" s="125">
        <f>INDEX(Weekly!H:H,MATCH($F40,Weekly!$E:$E,0))</f>
        <v>-5.6363636363636367</v>
      </c>
      <c r="L40" s="274">
        <f>INDEX(Weekly!I:I,MATCH($F40,Weekly!$E:$E,0))</f>
        <v>1</v>
      </c>
      <c r="M40" s="250">
        <f>INDEX(Prizes!F:F,MATCH($B40,Prizes!A:A,0))</f>
        <v>0</v>
      </c>
      <c r="N40" s="413">
        <f>INDEX(Weekly!J:J,MATCH($F40,Weekly!$E:$E,0))</f>
        <v>0</v>
      </c>
      <c r="O40" s="250">
        <f>INDEX(Weekly!K:K,MATCH($F40,Weekly!$E:$E,0))</f>
        <v>0</v>
      </c>
      <c r="P40" s="556">
        <f>INDEX(Weekly!M:M,MATCH($F40,Weekly!$E:$E,0))</f>
        <v>0</v>
      </c>
      <c r="Q40" s="656">
        <f>INDEX(Picks!J:J,MATCH(F40,Picks!A:A,0))</f>
        <v>12.545909090909092</v>
      </c>
      <c r="R40" s="657">
        <f>INDEX(Picks!I:I,MATCH(F40,Picks!A:A,0))</f>
        <v>-5.6363636363636367</v>
      </c>
      <c r="S40" s="596"/>
      <c r="T40" s="76"/>
      <c r="U40" s="76"/>
      <c r="V40" s="76"/>
      <c r="W40" s="76"/>
      <c r="X40" s="76"/>
      <c r="Y40" s="76"/>
      <c r="Z40" s="76"/>
      <c r="AA40" s="76"/>
      <c r="AB40" s="76"/>
    </row>
    <row r="41" spans="1:28" ht="14.1" customHeight="1">
      <c r="A41" s="703"/>
      <c r="B41" s="1" t="str">
        <f t="shared" si="1"/>
        <v>C8</v>
      </c>
      <c r="C41" s="258" t="s">
        <v>252</v>
      </c>
      <c r="D41" s="1">
        <v>8</v>
      </c>
      <c r="E41" s="10" t="s">
        <v>223</v>
      </c>
      <c r="F41" s="4" t="s">
        <v>535</v>
      </c>
      <c r="G41" s="10" t="s">
        <v>223</v>
      </c>
      <c r="H41" s="513"/>
      <c r="I41" s="245">
        <f>INDEX(Weekly!F:F,MATCH($F41,Weekly!$E:$E,0))</f>
        <v>-15.487619047619049</v>
      </c>
      <c r="J41" s="269">
        <f>INDEX(Weekly!G:G,MATCH($F41,Weekly!$E:$E,0))</f>
        <v>9</v>
      </c>
      <c r="K41" s="125">
        <f>INDEX(Weekly!H:H,MATCH($F41,Weekly!$E:$E,0))</f>
        <v>-5.5</v>
      </c>
      <c r="L41" s="274">
        <f>INDEX(Weekly!I:I,MATCH($F41,Weekly!$E:$E,0))</f>
        <v>1</v>
      </c>
      <c r="M41" s="250">
        <f>INDEX(Prizes!F:F,MATCH($B41,Prizes!A:A,0))</f>
        <v>0</v>
      </c>
      <c r="N41" s="413">
        <f>INDEX(Weekly!J:J,MATCH($F41,Weekly!$E:$E,0))</f>
        <v>0</v>
      </c>
      <c r="O41" s="250">
        <f>INDEX(Weekly!K:K,MATCH($F41,Weekly!$E:$E,0))</f>
        <v>0</v>
      </c>
      <c r="P41" s="556">
        <f>INDEX(Weekly!M:M,MATCH($F41,Weekly!$E:$E,0))</f>
        <v>0</v>
      </c>
      <c r="Q41" s="656">
        <f>INDEX(Picks!J:J,MATCH(F41,Picks!A:A,0))</f>
        <v>22.625</v>
      </c>
      <c r="R41" s="657">
        <f>INDEX(Picks!I:I,MATCH(F41,Picks!A:A,0))</f>
        <v>-5.5</v>
      </c>
      <c r="S41" s="596"/>
      <c r="T41" s="76"/>
      <c r="U41" s="76"/>
      <c r="V41" s="76"/>
      <c r="W41" s="76"/>
      <c r="X41" s="76"/>
      <c r="Y41" s="76"/>
      <c r="Z41" s="76"/>
      <c r="AA41" s="76"/>
      <c r="AB41" s="76"/>
    </row>
    <row r="42" spans="1:28" ht="14.1" customHeight="1">
      <c r="A42" s="703"/>
      <c r="B42" s="1" t="str">
        <f t="shared" si="1"/>
        <v>C9</v>
      </c>
      <c r="C42" s="255" t="s">
        <v>487</v>
      </c>
      <c r="D42" s="1">
        <v>9</v>
      </c>
      <c r="E42" s="10" t="s">
        <v>223</v>
      </c>
      <c r="F42" s="4" t="s">
        <v>275</v>
      </c>
      <c r="G42" s="10" t="s">
        <v>223</v>
      </c>
      <c r="H42" s="513"/>
      <c r="I42" s="245">
        <f>INDEX(Weekly!F:F,MATCH($F42,Weekly!$E:$E,0))</f>
        <v>-16.026616161616161</v>
      </c>
      <c r="J42" s="269">
        <f>INDEX(Weekly!G:G,MATCH($F42,Weekly!$E:$E,0))</f>
        <v>8</v>
      </c>
      <c r="K42" s="125">
        <f>INDEX(Weekly!H:H,MATCH($F42,Weekly!$E:$E,0))</f>
        <v>-5.2727272727272725</v>
      </c>
      <c r="L42" s="274">
        <f>INDEX(Weekly!I:I,MATCH($F42,Weekly!$E:$E,0))</f>
        <v>1</v>
      </c>
      <c r="M42" s="250">
        <f>INDEX(Prizes!F:F,MATCH($B42,Prizes!A:A,0))</f>
        <v>0</v>
      </c>
      <c r="N42" s="413">
        <f>INDEX(Weekly!J:J,MATCH($F42,Weekly!$E:$E,0))</f>
        <v>0</v>
      </c>
      <c r="O42" s="250">
        <f>INDEX(Weekly!K:K,MATCH($F42,Weekly!$E:$E,0))</f>
        <v>0</v>
      </c>
      <c r="P42" s="556">
        <f>INDEX(Weekly!M:M,MATCH($F42,Weekly!$E:$E,0))</f>
        <v>0</v>
      </c>
      <c r="Q42" s="656">
        <f>INDEX(Picks!J:J,MATCH(F42,Picks!A:A,0))</f>
        <v>11.972027972027973</v>
      </c>
      <c r="R42" s="657">
        <f>INDEX(Picks!I:I,MATCH(F42,Picks!A:A,0))</f>
        <v>-5.2727272727272725</v>
      </c>
      <c r="S42" s="596"/>
      <c r="T42" s="76"/>
      <c r="U42" s="76"/>
      <c r="V42" s="76"/>
      <c r="W42" s="76"/>
      <c r="X42" s="76"/>
      <c r="Y42" s="76"/>
      <c r="Z42" s="76"/>
      <c r="AA42" s="76"/>
      <c r="AB42" s="76"/>
    </row>
    <row r="43" spans="1:28" ht="14.1" customHeight="1">
      <c r="A43" s="703"/>
      <c r="B43" s="1" t="str">
        <f t="shared" si="1"/>
        <v>C10</v>
      </c>
      <c r="C43" s="255" t="s">
        <v>487</v>
      </c>
      <c r="D43" s="601">
        <v>10</v>
      </c>
      <c r="E43" s="10" t="s">
        <v>223</v>
      </c>
      <c r="F43" s="4" t="s">
        <v>536</v>
      </c>
      <c r="G43" s="10" t="s">
        <v>223</v>
      </c>
      <c r="H43" s="513"/>
      <c r="I43" s="245">
        <f>INDEX(Weekly!F:F,MATCH($F43,Weekly!$E:$E,0))</f>
        <v>-16.119318181818183</v>
      </c>
      <c r="J43" s="269">
        <f>INDEX(Weekly!G:G,MATCH($F43,Weekly!$E:$E,0))</f>
        <v>8</v>
      </c>
      <c r="K43" s="125">
        <f>INDEX(Weekly!H:H,MATCH($F43,Weekly!$E:$E,0))</f>
        <v>-0.875</v>
      </c>
      <c r="L43" s="274">
        <f>INDEX(Weekly!I:I,MATCH($F43,Weekly!$E:$E,0))</f>
        <v>2</v>
      </c>
      <c r="M43" s="250">
        <f>INDEX(Prizes!F:F,MATCH($B43,Prizes!A:A,0))</f>
        <v>0</v>
      </c>
      <c r="N43" s="413">
        <f>INDEX(Weekly!J:J,MATCH($F43,Weekly!$E:$E,0))</f>
        <v>0</v>
      </c>
      <c r="O43" s="250">
        <f>INDEX(Weekly!K:K,MATCH($F43,Weekly!$E:$E,0))</f>
        <v>0</v>
      </c>
      <c r="P43" s="556">
        <f>INDEX(Weekly!M:M,MATCH($F43,Weekly!$E:$E,0))</f>
        <v>0</v>
      </c>
      <c r="Q43" s="656">
        <f>INDEX(Picks!J:J,MATCH(F43,Picks!A:A,0))</f>
        <v>11.950000000000003</v>
      </c>
      <c r="R43" s="657">
        <f>INDEX(Picks!I:I,MATCH(F43,Picks!A:A,0))</f>
        <v>-0.875</v>
      </c>
      <c r="S43" s="596"/>
      <c r="T43" s="76"/>
      <c r="U43" s="76"/>
      <c r="V43" s="76"/>
      <c r="W43" s="76"/>
      <c r="X43" s="76"/>
      <c r="Y43" s="76"/>
      <c r="Z43" s="76"/>
      <c r="AA43" s="76"/>
      <c r="AB43" s="76"/>
    </row>
    <row r="44" spans="1:28" ht="14.1" customHeight="1">
      <c r="A44" s="703"/>
      <c r="B44" s="1" t="str">
        <f t="shared" si="1"/>
        <v>C11</v>
      </c>
      <c r="C44" s="255" t="s">
        <v>487</v>
      </c>
      <c r="D44" s="1">
        <v>11</v>
      </c>
      <c r="E44" s="10" t="s">
        <v>223</v>
      </c>
      <c r="F44" s="4" t="s">
        <v>347</v>
      </c>
      <c r="G44" s="10" t="s">
        <v>223</v>
      </c>
      <c r="H44" s="513"/>
      <c r="I44" s="245">
        <f>INDEX(Weekly!F:F,MATCH($F44,Weekly!$E:$E,0))</f>
        <v>-17.364545454545457</v>
      </c>
      <c r="J44" s="269">
        <f>INDEX(Weekly!G:G,MATCH($F44,Weekly!$E:$E,0))</f>
        <v>6</v>
      </c>
      <c r="K44" s="125">
        <f>INDEX(Weekly!H:H,MATCH($F44,Weekly!$E:$E,0))</f>
        <v>-0.55454545454545467</v>
      </c>
      <c r="L44" s="274">
        <f>INDEX(Weekly!I:I,MATCH($F44,Weekly!$E:$E,0))</f>
        <v>2</v>
      </c>
      <c r="M44" s="250">
        <f>INDEX(Prizes!F:F,MATCH($B44,Prizes!A:A,0))</f>
        <v>0</v>
      </c>
      <c r="N44" s="413">
        <f>INDEX(Weekly!J:J,MATCH($F44,Weekly!$E:$E,0))</f>
        <v>5</v>
      </c>
      <c r="O44" s="250">
        <f>INDEX(Weekly!K:K,MATCH($F44,Weekly!$E:$E,0))</f>
        <v>0</v>
      </c>
      <c r="P44" s="556">
        <f>INDEX(Weekly!M:M,MATCH($F44,Weekly!$E:$E,0))</f>
        <v>5</v>
      </c>
      <c r="Q44" s="656">
        <f>INDEX(Picks!J:J,MATCH(F44,Picks!A:A,0))</f>
        <v>20.292727272727269</v>
      </c>
      <c r="R44" s="657">
        <f>INDEX(Picks!I:I,MATCH(F44,Picks!A:A,0))</f>
        <v>-0.55454545454545467</v>
      </c>
      <c r="S44" s="596"/>
      <c r="T44" s="76"/>
      <c r="U44" s="76"/>
      <c r="V44" s="76"/>
      <c r="W44" s="76"/>
      <c r="X44" s="76"/>
      <c r="Y44" s="76"/>
      <c r="Z44" s="76"/>
      <c r="AA44" s="76"/>
      <c r="AB44" s="76"/>
    </row>
    <row r="45" spans="1:28" ht="14.1" customHeight="1">
      <c r="A45" s="703"/>
      <c r="B45" s="1" t="str">
        <f t="shared" si="1"/>
        <v>C12</v>
      </c>
      <c r="C45" s="255" t="s">
        <v>487</v>
      </c>
      <c r="D45" s="1">
        <v>12</v>
      </c>
      <c r="E45" s="10" t="s">
        <v>223</v>
      </c>
      <c r="F45" s="14" t="s">
        <v>272</v>
      </c>
      <c r="G45" s="10" t="s">
        <v>223</v>
      </c>
      <c r="H45" s="513"/>
      <c r="I45" s="245">
        <f>INDEX(Weekly!F:F,MATCH($F45,Weekly!$E:$E,0))</f>
        <v>-19.4025</v>
      </c>
      <c r="J45" s="269">
        <f>INDEX(Weekly!G:G,MATCH($F45,Weekly!$E:$E,0))</f>
        <v>6</v>
      </c>
      <c r="K45" s="125">
        <f>INDEX(Weekly!H:H,MATCH($F45,Weekly!$E:$E,0))</f>
        <v>-7</v>
      </c>
      <c r="L45" s="274">
        <f>INDEX(Weekly!I:I,MATCH($F45,Weekly!$E:$E,0))</f>
        <v>0</v>
      </c>
      <c r="M45" s="250">
        <f>INDEX(Prizes!F:F,MATCH($B45,Prizes!A:A,0))</f>
        <v>0</v>
      </c>
      <c r="N45" s="413">
        <f>INDEX(Weekly!J:J,MATCH($F45,Weekly!$E:$E,0))</f>
        <v>0</v>
      </c>
      <c r="O45" s="250">
        <f>INDEX(Weekly!K:K,MATCH($F45,Weekly!$E:$E,0))</f>
        <v>0</v>
      </c>
      <c r="P45" s="556">
        <f>INDEX(Weekly!M:M,MATCH($F45,Weekly!$E:$E,0))</f>
        <v>0</v>
      </c>
      <c r="Q45" s="656" t="str">
        <f>INDEX(Picks!J:J,MATCH(F45,Picks!A:A,0))</f>
        <v/>
      </c>
      <c r="R45" s="657">
        <f>INDEX(Picks!I:I,MATCH(F45,Picks!A:A,0))</f>
        <v>-10</v>
      </c>
      <c r="S45" s="596"/>
      <c r="T45" s="76"/>
      <c r="U45" s="76"/>
      <c r="V45" s="76"/>
      <c r="W45" s="76"/>
      <c r="X45" s="76"/>
      <c r="Y45" s="76"/>
      <c r="Z45" s="76"/>
      <c r="AA45" s="76"/>
      <c r="AB45" s="76"/>
    </row>
    <row r="46" spans="1:28" ht="14.1" customHeight="1">
      <c r="A46" s="703"/>
      <c r="B46" s="10" t="s">
        <v>384</v>
      </c>
      <c r="C46" s="255" t="s">
        <v>487</v>
      </c>
      <c r="D46" s="1">
        <v>13</v>
      </c>
      <c r="E46" s="10" t="s">
        <v>223</v>
      </c>
      <c r="F46" s="14" t="s">
        <v>480</v>
      </c>
      <c r="G46" s="10" t="s">
        <v>223</v>
      </c>
      <c r="H46" s="513"/>
      <c r="I46" s="245">
        <f>INDEX(Weekly!F:F,MATCH($F46,Weekly!$E:$E,0))</f>
        <v>-22.25</v>
      </c>
      <c r="J46" s="269">
        <f>INDEX(Weekly!G:G,MATCH($F46,Weekly!$E:$E,0))</f>
        <v>7</v>
      </c>
      <c r="K46" s="125">
        <f>INDEX(Weekly!H:H,MATCH($F46,Weekly!$E:$E,0))</f>
        <v>-4.5999999999999996</v>
      </c>
      <c r="L46" s="274">
        <f>INDEX(Weekly!I:I,MATCH($F46,Weekly!$E:$E,0))</f>
        <v>1</v>
      </c>
      <c r="M46" s="250">
        <f>INDEX(Prizes!F:F,MATCH($B46,Prizes!A:A,0))</f>
        <v>0</v>
      </c>
      <c r="N46" s="413">
        <f>INDEX(Weekly!J:J,MATCH($F46,Weekly!$E:$E,0))</f>
        <v>0</v>
      </c>
      <c r="O46" s="250">
        <f>INDEX(Weekly!K:K,MATCH($F46,Weekly!$E:$E,0))</f>
        <v>0</v>
      </c>
      <c r="P46" s="556">
        <f>INDEX(Weekly!M:M,MATCH($F46,Weekly!$E:$E,0))</f>
        <v>0</v>
      </c>
      <c r="Q46" s="656">
        <f>INDEX(Picks!J:J,MATCH(F46,Picks!A:A,0))</f>
        <v>17.343076923076922</v>
      </c>
      <c r="R46" s="657">
        <f>INDEX(Picks!I:I,MATCH(F46,Picks!A:A,0))</f>
        <v>-4.5999999999999996</v>
      </c>
      <c r="S46" s="596"/>
      <c r="T46" s="76"/>
      <c r="U46" s="76"/>
      <c r="V46" s="76"/>
      <c r="W46" s="76"/>
      <c r="X46" s="76"/>
      <c r="Y46" s="76"/>
      <c r="Z46" s="76"/>
      <c r="AA46" s="76"/>
      <c r="AB46" s="76"/>
    </row>
    <row r="47" spans="1:28" ht="14.1" customHeight="1">
      <c r="A47" s="703"/>
      <c r="B47" s="10" t="s">
        <v>385</v>
      </c>
      <c r="C47" s="255" t="s">
        <v>487</v>
      </c>
      <c r="D47" s="1">
        <v>14</v>
      </c>
      <c r="E47" s="10" t="s">
        <v>223</v>
      </c>
      <c r="F47" s="4" t="s">
        <v>534</v>
      </c>
      <c r="G47" s="10" t="s">
        <v>223</v>
      </c>
      <c r="H47" s="513"/>
      <c r="I47" s="245">
        <f>INDEX(Weekly!F:F,MATCH($F47,Weekly!$E:$E,0))</f>
        <v>-23.989305139305142</v>
      </c>
      <c r="J47" s="269">
        <f>INDEX(Weekly!G:G,MATCH($F47,Weekly!$E:$E,0))</f>
        <v>7</v>
      </c>
      <c r="K47" s="125">
        <f>INDEX(Weekly!H:H,MATCH($F47,Weekly!$E:$E,0))</f>
        <v>-4.8</v>
      </c>
      <c r="L47" s="274">
        <f>INDEX(Weekly!I:I,MATCH($F47,Weekly!$E:$E,0))</f>
        <v>1</v>
      </c>
      <c r="M47" s="250">
        <f>INDEX(Prizes!F:F,MATCH($B47,Prizes!A:A,0))</f>
        <v>0</v>
      </c>
      <c r="N47" s="413">
        <f>INDEX(Weekly!J:J,MATCH($F47,Weekly!$E:$E,0))</f>
        <v>0</v>
      </c>
      <c r="O47" s="250">
        <f>INDEX(Weekly!K:K,MATCH($F47,Weekly!$E:$E,0))</f>
        <v>0</v>
      </c>
      <c r="P47" s="556">
        <f>INDEX(Weekly!M:M,MATCH($F47,Weekly!$E:$E,0))</f>
        <v>0</v>
      </c>
      <c r="Q47" s="656">
        <f>INDEX(Picks!J:J,MATCH(F47,Picks!A:A,0))</f>
        <v>28.960000000000008</v>
      </c>
      <c r="R47" s="657">
        <f>INDEX(Picks!I:I,MATCH(F47,Picks!A:A,0))</f>
        <v>-4.8</v>
      </c>
      <c r="S47" s="596"/>
      <c r="T47" s="76"/>
      <c r="U47" s="76"/>
      <c r="V47" s="76"/>
      <c r="W47" s="76"/>
      <c r="X47" s="76"/>
      <c r="Y47" s="76"/>
      <c r="Z47" s="76"/>
      <c r="AA47" s="76"/>
      <c r="AB47" s="76"/>
    </row>
    <row r="48" spans="1:28" ht="14.1" customHeight="1">
      <c r="A48" s="703"/>
      <c r="B48" s="10" t="s">
        <v>386</v>
      </c>
      <c r="C48" s="255" t="s">
        <v>487</v>
      </c>
      <c r="D48" s="10">
        <v>15</v>
      </c>
      <c r="E48" s="10" t="s">
        <v>223</v>
      </c>
      <c r="F48" s="4" t="s">
        <v>291</v>
      </c>
      <c r="G48" s="10" t="s">
        <v>223</v>
      </c>
      <c r="H48" s="4"/>
      <c r="I48" s="245">
        <f>INDEX(Weekly!F:F,MATCH($F48,Weekly!$E:$E,0))</f>
        <v>-25.734999999999999</v>
      </c>
      <c r="J48" s="269">
        <f>INDEX(Weekly!G:G,MATCH($F48,Weekly!$E:$E,0))</f>
        <v>3</v>
      </c>
      <c r="K48" s="125">
        <f>INDEX(Weekly!H:H,MATCH($F48,Weekly!$E:$E,0))</f>
        <v>-7</v>
      </c>
      <c r="L48" s="274">
        <f>INDEX(Weekly!I:I,MATCH($F48,Weekly!$E:$E,0))</f>
        <v>0</v>
      </c>
      <c r="M48" s="250">
        <f>INDEX(Prizes!F:F,MATCH($B48,Prizes!A:A,0))</f>
        <v>0</v>
      </c>
      <c r="N48" s="413">
        <f>INDEX(Weekly!J:J,MATCH($F48,Weekly!$E:$E,0))</f>
        <v>0</v>
      </c>
      <c r="O48" s="250">
        <f>INDEX(Weekly!K:K,MATCH($F48,Weekly!$E:$E,0))</f>
        <v>0</v>
      </c>
      <c r="P48" s="556">
        <f>INDEX(Weekly!M:M,MATCH($F48,Weekly!$E:$E,0))</f>
        <v>0</v>
      </c>
      <c r="Q48" s="656">
        <f>INDEX(Picks!J:J,MATCH(F48,Picks!A:A,0))</f>
        <v>30.587499999999999</v>
      </c>
      <c r="R48" s="657">
        <f>INDEX(Picks!I:I,MATCH(F48,Picks!A:A,0))</f>
        <v>-7</v>
      </c>
      <c r="S48" s="596"/>
      <c r="T48" s="76"/>
      <c r="U48" s="76"/>
      <c r="V48" s="76"/>
      <c r="W48" s="76"/>
      <c r="X48" s="76"/>
      <c r="Y48" s="76"/>
      <c r="Z48" s="76"/>
      <c r="AA48" s="76"/>
      <c r="AB48" s="76"/>
    </row>
    <row r="49" spans="1:28" ht="14.1" customHeight="1">
      <c r="A49" s="703"/>
      <c r="B49" s="10" t="s">
        <v>387</v>
      </c>
      <c r="C49" s="255" t="s">
        <v>487</v>
      </c>
      <c r="D49" s="601">
        <v>16</v>
      </c>
      <c r="E49" s="10" t="s">
        <v>223</v>
      </c>
      <c r="F49" s="4" t="s">
        <v>295</v>
      </c>
      <c r="G49" s="10" t="s">
        <v>223</v>
      </c>
      <c r="H49" s="513"/>
      <c r="I49" s="245">
        <f>INDEX(Weekly!F:F,MATCH($F49,Weekly!$E:$E,0))</f>
        <v>-27.1875</v>
      </c>
      <c r="J49" s="269">
        <f>INDEX(Weekly!G:G,MATCH($F49,Weekly!$E:$E,0))</f>
        <v>5</v>
      </c>
      <c r="K49" s="125">
        <f>INDEX(Weekly!H:H,MATCH($F49,Weekly!$E:$E,0))</f>
        <v>-4.8499999999999996</v>
      </c>
      <c r="L49" s="274">
        <f>INDEX(Weekly!I:I,MATCH($F49,Weekly!$E:$E,0))</f>
        <v>1</v>
      </c>
      <c r="M49" s="250">
        <f>INDEX(Prizes!F:F,MATCH($B49,Prizes!A:A,0))</f>
        <v>0</v>
      </c>
      <c r="N49" s="413">
        <f>INDEX(Weekly!J:J,MATCH($F49,Weekly!$E:$E,0))</f>
        <v>0</v>
      </c>
      <c r="O49" s="250">
        <f>INDEX(Weekly!K:K,MATCH($F49,Weekly!$E:$E,0))</f>
        <v>0</v>
      </c>
      <c r="P49" s="560">
        <f>INDEX(Weekly!M:M,MATCH($F49,Weekly!$E:$E,0))</f>
        <v>0</v>
      </c>
      <c r="Q49" s="656">
        <f>INDEX(Picks!J:J,MATCH(F49,Picks!A:A,0))</f>
        <v>29.421999999999997</v>
      </c>
      <c r="R49" s="664">
        <f>INDEX(Picks!I:I,MATCH(F49,Picks!A:A,0))</f>
        <v>-4.8499999999999996</v>
      </c>
      <c r="S49" s="596"/>
      <c r="T49" s="76"/>
      <c r="U49" s="76"/>
      <c r="V49" s="76"/>
      <c r="W49" s="76"/>
      <c r="X49" s="76"/>
      <c r="Y49" s="76"/>
      <c r="Z49" s="76"/>
      <c r="AA49" s="76"/>
      <c r="AB49" s="76"/>
    </row>
    <row r="50" spans="1:28" ht="14.1" customHeight="1">
      <c r="A50" s="703"/>
      <c r="B50" s="10" t="s">
        <v>497</v>
      </c>
      <c r="C50" s="255" t="s">
        <v>487</v>
      </c>
      <c r="D50" s="1">
        <v>17</v>
      </c>
      <c r="E50" s="10" t="s">
        <v>223</v>
      </c>
      <c r="F50" s="4" t="s">
        <v>481</v>
      </c>
      <c r="G50" s="10" t="s">
        <v>223</v>
      </c>
      <c r="H50" s="513"/>
      <c r="I50" s="245">
        <f>INDEX(Weekly!F:F,MATCH($F50,Weekly!$E:$E,0))</f>
        <v>-27.26653846153846</v>
      </c>
      <c r="J50" s="269">
        <f>INDEX(Weekly!G:G,MATCH($F50,Weekly!$E:$E,0))</f>
        <v>6</v>
      </c>
      <c r="K50" s="125">
        <f>INDEX(Weekly!H:H,MATCH($F50,Weekly!$E:$E,0))</f>
        <v>-1.4615384615384617</v>
      </c>
      <c r="L50" s="274">
        <f>INDEX(Weekly!I:I,MATCH($F50,Weekly!$E:$E,0))</f>
        <v>2</v>
      </c>
      <c r="M50" s="250">
        <f>INDEX(Prizes!F:F,MATCH($B50,Prizes!A:A,0))</f>
        <v>0</v>
      </c>
      <c r="N50" s="413">
        <f>INDEX(Weekly!J:J,MATCH($F50,Weekly!$E:$E,0))</f>
        <v>0</v>
      </c>
      <c r="O50" s="250">
        <f>INDEX(Weekly!K:K,MATCH($F50,Weekly!$E:$E,0))</f>
        <v>0</v>
      </c>
      <c r="P50" s="556">
        <f>INDEX(Weekly!M:M,MATCH($F50,Weekly!$E:$E,0))</f>
        <v>0</v>
      </c>
      <c r="Q50" s="656">
        <f>INDEX(Picks!J:J,MATCH(F50,Picks!A:A,0))</f>
        <v>9.9807692307692299</v>
      </c>
      <c r="R50" s="657">
        <f>INDEX(Picks!I:I,MATCH(F50,Picks!A:A,0))</f>
        <v>-1.4615384615384617</v>
      </c>
      <c r="S50" s="596"/>
      <c r="T50" s="76"/>
      <c r="U50" s="76"/>
      <c r="V50" s="76"/>
      <c r="W50" s="76"/>
      <c r="X50" s="76"/>
      <c r="Y50" s="76"/>
      <c r="Z50" s="76"/>
      <c r="AA50" s="76"/>
      <c r="AB50" s="76"/>
    </row>
    <row r="51" spans="1:28" ht="14.1" customHeight="1">
      <c r="A51" s="703"/>
      <c r="B51" s="10" t="s">
        <v>499</v>
      </c>
      <c r="C51" s="255" t="s">
        <v>487</v>
      </c>
      <c r="D51" s="1">
        <v>18</v>
      </c>
      <c r="E51" s="10" t="s">
        <v>223</v>
      </c>
      <c r="F51" s="4" t="s">
        <v>274</v>
      </c>
      <c r="G51" s="10" t="s">
        <v>223</v>
      </c>
      <c r="H51" s="513"/>
      <c r="I51" s="246">
        <f>INDEX(Weekly!F:F,MATCH($F51,Weekly!$E:$E,0))</f>
        <v>-31.590909090909093</v>
      </c>
      <c r="J51" s="270">
        <f>INDEX(Weekly!G:G,MATCH($F51,Weekly!$E:$E,0))</f>
        <v>4</v>
      </c>
      <c r="K51" s="126">
        <f>INDEX(Weekly!H:H,MATCH($F51,Weekly!$E:$E,0))</f>
        <v>-4.5999999999999996</v>
      </c>
      <c r="L51" s="275">
        <f>INDEX(Weekly!I:I,MATCH($F51,Weekly!$E:$E,0))</f>
        <v>1</v>
      </c>
      <c r="M51" s="250">
        <f>INDEX(Prizes!F:F,MATCH($B51,Prizes!A:A,0))</f>
        <v>0</v>
      </c>
      <c r="N51" s="413">
        <f>INDEX(Weekly!J:J,MATCH($F51,Weekly!$E:$E,0))</f>
        <v>0</v>
      </c>
      <c r="O51" s="250">
        <f>INDEX(Weekly!K:K,MATCH($F51,Weekly!$E:$E,0))</f>
        <v>0</v>
      </c>
      <c r="P51" s="556">
        <f>INDEX(Weekly!M:M,MATCH($F51,Weekly!$E:$E,0))</f>
        <v>0</v>
      </c>
      <c r="Q51" s="656">
        <f>INDEX(Picks!J:J,MATCH(F51,Picks!A:A,0))</f>
        <v>29.944000000000003</v>
      </c>
      <c r="R51" s="657">
        <f>INDEX(Picks!I:I,MATCH(F51,Picks!A:A,0))</f>
        <v>-4.5999999999999996</v>
      </c>
      <c r="S51" s="596"/>
      <c r="T51" s="76"/>
      <c r="U51" s="76"/>
      <c r="V51" s="76"/>
      <c r="W51" s="76"/>
      <c r="X51" s="76"/>
      <c r="Y51" s="76"/>
      <c r="Z51" s="76"/>
      <c r="AA51" s="76"/>
      <c r="AB51" s="76"/>
    </row>
    <row r="52" spans="1:28" ht="14.1" customHeight="1" thickBot="1">
      <c r="A52" s="569"/>
      <c r="B52" s="377"/>
      <c r="C52" s="257"/>
      <c r="D52" s="238"/>
      <c r="E52" s="511"/>
      <c r="F52" s="239"/>
      <c r="G52" s="511"/>
      <c r="H52" s="515"/>
      <c r="I52" s="247"/>
      <c r="J52" s="271"/>
      <c r="K52" s="141"/>
      <c r="L52" s="276"/>
      <c r="M52" s="253"/>
      <c r="N52" s="254"/>
      <c r="O52" s="253"/>
      <c r="P52" s="561"/>
      <c r="Q52" s="660"/>
      <c r="R52" s="666"/>
      <c r="S52" s="596"/>
    </row>
    <row r="53" spans="1:28">
      <c r="C53" s="1"/>
      <c r="D53" s="1"/>
      <c r="E53" s="10"/>
      <c r="G53" s="10"/>
      <c r="H53" s="192"/>
      <c r="I53" s="125"/>
      <c r="J53" s="269"/>
      <c r="K53" s="125"/>
      <c r="L53" s="269"/>
      <c r="M53" s="55"/>
      <c r="N53" s="18"/>
      <c r="O53" s="55"/>
      <c r="P53" s="55"/>
      <c r="Q53" s="125"/>
      <c r="R53" s="125"/>
    </row>
    <row r="54" spans="1:28">
      <c r="C54" s="8"/>
      <c r="D54" s="8"/>
      <c r="F54" s="14"/>
      <c r="M54" s="250">
        <f t="shared" ref="M54:R54" si="2">SUM(M2:M52)</f>
        <v>450</v>
      </c>
      <c r="N54" s="251">
        <f t="shared" si="2"/>
        <v>150</v>
      </c>
      <c r="O54" s="251">
        <f t="shared" si="2"/>
        <v>0</v>
      </c>
      <c r="P54" s="251">
        <f t="shared" si="2"/>
        <v>600</v>
      </c>
      <c r="Q54" s="656">
        <f t="shared" si="2"/>
        <v>1334.935140859141</v>
      </c>
      <c r="R54" s="656">
        <f t="shared" si="2"/>
        <v>-107.28483391608387</v>
      </c>
    </row>
  </sheetData>
  <sortState xmlns:xlrd2="http://schemas.microsoft.com/office/spreadsheetml/2017/richdata2" ref="E2:L53">
    <sortCondition ref="E2:E53"/>
    <sortCondition descending="1" ref="I2:I53"/>
    <sortCondition descending="1" ref="J2:J53"/>
  </sortState>
  <mergeCells count="3">
    <mergeCell ref="A2:A17"/>
    <mergeCell ref="A18:A33"/>
    <mergeCell ref="A34:A51"/>
  </mergeCells>
  <conditionalFormatting sqref="M2:R52">
    <cfRule type="cellIs" dxfId="132" priority="6" stopIfTrue="1" operator="equal">
      <formula>0</formula>
    </cfRule>
  </conditionalFormatting>
  <conditionalFormatting sqref="Q54:R54">
    <cfRule type="cellIs" dxfId="131" priority="1" stopIfTrue="1" operator="equal">
      <formula>0</formula>
    </cfRule>
  </conditionalFormatting>
  <printOptions gridLines="1"/>
  <pageMargins left="0.70866141732283472" right="0.70866141732283472" top="0.74803149606299213" bottom="0.74803149606299213" header="0.31496062992125984" footer="0.31496062992125984"/>
  <pageSetup paperSize="9" orientation="portrait" r:id="rId1"/>
  <headerFooter>
    <oddHeader>&amp;L&amp;G&amp;R&amp;24&amp;K7030A0Latest Table</oddHead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3">
    <tabColor rgb="FFFFFF00"/>
    <pageSetUpPr fitToPage="1"/>
  </sheetPr>
  <dimension ref="A1:BY151"/>
  <sheetViews>
    <sheetView topLeftCell="F1" zoomScaleNormal="100" workbookViewId="0">
      <pane ySplit="1" topLeftCell="A18" activePane="bottomLeft" state="frozen"/>
      <selection activeCell="I2" sqref="I2"/>
      <selection pane="bottomLeft" activeCell="T2" sqref="T2:U51"/>
    </sheetView>
  </sheetViews>
  <sheetFormatPr defaultRowHeight="12.75"/>
  <cols>
    <col min="1" max="1" width="9.1328125" style="3" customWidth="1"/>
    <col min="2" max="2" width="21.3984375" style="1" customWidth="1"/>
    <col min="3" max="3" width="19.73046875" style="1" customWidth="1"/>
    <col min="4" max="4" width="9.1328125" style="2" customWidth="1"/>
    <col min="5" max="5" width="7.59765625" style="3" customWidth="1"/>
    <col min="6" max="6" width="9.265625" style="1" customWidth="1"/>
    <col min="7" max="7" width="6.265625" style="1" customWidth="1"/>
    <col min="8" max="8" width="9.1328125" style="3" customWidth="1"/>
    <col min="9" max="9" width="16.1328125" style="183" customWidth="1"/>
    <col min="10" max="12" width="8.59765625" style="3" customWidth="1"/>
    <col min="13" max="18" width="8.59765625" style="1" customWidth="1"/>
    <col min="19" max="19" width="8.59765625" style="3" customWidth="1"/>
    <col min="20" max="20" width="8.59765625" style="3" bestFit="1" customWidth="1"/>
    <col min="21" max="21" width="6.59765625" style="1" bestFit="1" customWidth="1"/>
    <col min="22" max="22" width="22.1328125" style="1" bestFit="1" customWidth="1"/>
    <col min="23" max="27" width="9.1328125" style="1" customWidth="1"/>
    <col min="28" max="33" width="8.73046875" style="1" customWidth="1"/>
    <col min="34" max="35" width="12.1328125" style="1" customWidth="1"/>
    <col min="36" max="36" width="22.1328125" style="1" customWidth="1"/>
    <col min="37" max="77" width="9.1328125" style="1" customWidth="1"/>
  </cols>
  <sheetData>
    <row r="1" spans="1:77" s="203" customFormat="1" ht="16.5" customHeight="1">
      <c r="A1" s="339" t="s">
        <v>29</v>
      </c>
      <c r="B1" s="195"/>
      <c r="C1" s="192" t="s">
        <v>7</v>
      </c>
      <c r="D1" s="196" t="s">
        <v>8</v>
      </c>
      <c r="E1" s="194" t="s">
        <v>9</v>
      </c>
      <c r="F1" s="132" t="s">
        <v>15</v>
      </c>
      <c r="G1" s="195" t="s">
        <v>11</v>
      </c>
      <c r="H1" s="194" t="s">
        <v>10</v>
      </c>
      <c r="I1" s="197" t="s">
        <v>130</v>
      </c>
      <c r="J1" s="198" t="s">
        <v>155</v>
      </c>
      <c r="K1" s="198" t="s">
        <v>156</v>
      </c>
      <c r="L1" s="198" t="s">
        <v>157</v>
      </c>
      <c r="M1" s="199" t="s">
        <v>0</v>
      </c>
      <c r="N1" s="199" t="s">
        <v>1</v>
      </c>
      <c r="O1" s="199" t="s">
        <v>2</v>
      </c>
      <c r="P1" s="199" t="s">
        <v>3</v>
      </c>
      <c r="Q1" s="199" t="s">
        <v>4</v>
      </c>
      <c r="R1" s="199" t="s">
        <v>5</v>
      </c>
      <c r="S1" s="200" t="s">
        <v>12</v>
      </c>
      <c r="T1" s="200" t="s">
        <v>6</v>
      </c>
      <c r="U1" s="199" t="s">
        <v>14</v>
      </c>
      <c r="V1" s="113" t="s">
        <v>130</v>
      </c>
      <c r="W1" s="199" t="s">
        <v>15</v>
      </c>
      <c r="X1" s="201" t="s">
        <v>158</v>
      </c>
      <c r="Y1" s="202" t="s">
        <v>159</v>
      </c>
      <c r="Z1" s="202" t="s">
        <v>160</v>
      </c>
      <c r="AA1" s="202" t="s">
        <v>161</v>
      </c>
      <c r="AB1" s="199" t="s">
        <v>0</v>
      </c>
      <c r="AC1" s="199" t="s">
        <v>1</v>
      </c>
      <c r="AD1" s="199" t="s">
        <v>2</v>
      </c>
      <c r="AE1" s="199" t="s">
        <v>3</v>
      </c>
      <c r="AF1" s="199" t="s">
        <v>4</v>
      </c>
      <c r="AG1" s="199" t="s">
        <v>5</v>
      </c>
      <c r="AH1" s="200" t="s">
        <v>12</v>
      </c>
      <c r="AI1" s="200" t="s">
        <v>6</v>
      </c>
      <c r="AJ1" s="195"/>
      <c r="AK1" s="195" t="s">
        <v>463</v>
      </c>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row>
    <row r="2" spans="1:77">
      <c r="A2" s="3">
        <v>1</v>
      </c>
      <c r="B2" s="178" t="str">
        <f>$V2</f>
        <v>Alan Bond</v>
      </c>
      <c r="C2" s="177" t="str">
        <f>Picks!E2</f>
        <v>Israel draw</v>
      </c>
      <c r="D2" s="178">
        <f>Picks!F2</f>
        <v>1</v>
      </c>
      <c r="E2" s="178">
        <f>Picks!G2</f>
        <v>3.1</v>
      </c>
      <c r="F2" s="177">
        <f>IF(C2="","",INDEX(Odds!K:K,MATCH(C2,Odds!G:G,0)))</f>
        <v>1</v>
      </c>
      <c r="G2" s="177">
        <f>IF(C2="","",Picks!P2)</f>
        <v>0</v>
      </c>
      <c r="H2" s="178">
        <f t="shared" ref="H2:H33" si="0">IF(C2="","",+((E2-1)*G2*F2*A$2))</f>
        <v>0</v>
      </c>
      <c r="I2" s="184" t="str">
        <f t="shared" ref="I2:I32" si="1">V2</f>
        <v>Alan Bond</v>
      </c>
      <c r="J2" s="176">
        <f>H2</f>
        <v>0</v>
      </c>
      <c r="K2" s="176">
        <f>H3</f>
        <v>2.1</v>
      </c>
      <c r="L2" s="176">
        <f>H4</f>
        <v>0</v>
      </c>
      <c r="M2" s="176">
        <f t="shared" ref="M2:M32" si="2">IF(J2=0,0,1)+J2</f>
        <v>0</v>
      </c>
      <c r="N2" s="176">
        <f t="shared" ref="N2:N32" si="3">IF(K2=0,0,1)+K2</f>
        <v>3.1</v>
      </c>
      <c r="O2" s="176">
        <f t="shared" ref="O2:O32" si="4">IF(L2=0,0,1)+L2</f>
        <v>0</v>
      </c>
      <c r="P2" s="176">
        <f t="shared" ref="P2:P32" si="5">IF(K2=0,0,(M2*K2)+M2)</f>
        <v>0</v>
      </c>
      <c r="Q2" s="176">
        <f t="shared" ref="Q2:Q32" si="6">IF(L2=0,0,(N2*L2)+N2)</f>
        <v>0</v>
      </c>
      <c r="R2" s="176">
        <f t="shared" ref="R2:R32" si="7">IF(J2=0,0,(O2*J2)+O2)</f>
        <v>0</v>
      </c>
      <c r="S2" s="176">
        <f t="shared" ref="S2:S32" si="8">IF(L2=0,0,(P2*L2)+P2)</f>
        <v>0</v>
      </c>
      <c r="T2" s="176">
        <f t="shared" ref="T2:T32" si="9">SUM(M2:S2)-(IF(W2=1,A$2*1,0))-(IF(W2=2,A$2*3,0))-(IF(W2=3,A$2*7,0))</f>
        <v>-3.9</v>
      </c>
      <c r="U2" s="145">
        <f>SUM(G2:G4)</f>
        <v>1</v>
      </c>
      <c r="V2" s="117" t="s">
        <v>479</v>
      </c>
      <c r="W2" s="145">
        <f>SUM(F2:F4)</f>
        <v>3</v>
      </c>
      <c r="X2" s="178">
        <f t="shared" ref="X2:X33" si="10">+((E2-1)*F2*A$2)</f>
        <v>2.1</v>
      </c>
      <c r="Y2" s="176">
        <f>X2</f>
        <v>2.1</v>
      </c>
      <c r="Z2" s="176">
        <f>X3</f>
        <v>2.1</v>
      </c>
      <c r="AA2" s="176">
        <f>X4</f>
        <v>2.2999999999999998</v>
      </c>
      <c r="AB2" s="176">
        <f t="shared" ref="AB2:AB32" si="11">IF(Y2=0,0,1)+Y2</f>
        <v>3.1</v>
      </c>
      <c r="AC2" s="182">
        <f t="shared" ref="AC2:AC32" si="12">IF(Z2=0,0,1)+Z2</f>
        <v>3.1</v>
      </c>
      <c r="AD2" s="176">
        <f t="shared" ref="AD2:AD32" si="13">IF(AA2=0,0,1)+AA2</f>
        <v>3.3</v>
      </c>
      <c r="AE2" s="176">
        <f t="shared" ref="AE2:AE32" si="14">IF(Z2=0,0,(AB2*Z2)+AB2)</f>
        <v>9.6100000000000012</v>
      </c>
      <c r="AF2" s="176">
        <f t="shared" ref="AF2:AF32" si="15">IF(AA2=0,0,(AC2*AA2)+AC2)</f>
        <v>10.23</v>
      </c>
      <c r="AG2" s="176">
        <f t="shared" ref="AG2:AG32" si="16">IF(Y2=0,0,(AD2*Y2)+AD2)</f>
        <v>10.23</v>
      </c>
      <c r="AH2" s="176">
        <f t="shared" ref="AH2:AH32" si="17">IF(AA2=0,0,(AE2*AA2)+AE2)</f>
        <v>31.713000000000001</v>
      </c>
      <c r="AI2" s="176">
        <f t="shared" ref="AI2:AI32" si="18">SUM(AB2:AH2)-AK2</f>
        <v>64.283000000000001</v>
      </c>
      <c r="AJ2" s="185" t="str">
        <f t="shared" ref="AJ2:AJ26" si="19">$V2</f>
        <v>Alan Bond</v>
      </c>
      <c r="AK2" s="1">
        <f t="shared" ref="AK2:AK26" si="20">IF(W2=3,7,IF(W2=2,3,1))</f>
        <v>7</v>
      </c>
    </row>
    <row r="3" spans="1:77">
      <c r="B3" s="177"/>
      <c r="C3" s="177" t="str">
        <f>Picks!E3</f>
        <v>Lithuania draw</v>
      </c>
      <c r="D3" s="178">
        <f>Picks!F3</f>
        <v>1</v>
      </c>
      <c r="E3" s="178">
        <f>Picks!G3</f>
        <v>3.1</v>
      </c>
      <c r="F3" s="177">
        <f>IF(C3="","",INDEX(Odds!K:K,MATCH(C3,Odds!G:G,0)))</f>
        <v>1</v>
      </c>
      <c r="G3" s="177">
        <f>IF(C3="","",Picks!P3)</f>
        <v>1</v>
      </c>
      <c r="H3" s="178">
        <f t="shared" si="0"/>
        <v>2.1</v>
      </c>
      <c r="I3" s="184" t="str">
        <f t="shared" si="1"/>
        <v>Alan Rogers</v>
      </c>
      <c r="J3" s="176">
        <f>H5</f>
        <v>1.9</v>
      </c>
      <c r="K3" s="176">
        <f>H6</f>
        <v>2.4</v>
      </c>
      <c r="L3" s="176">
        <f>H7</f>
        <v>0</v>
      </c>
      <c r="M3" s="176">
        <f t="shared" si="2"/>
        <v>2.9</v>
      </c>
      <c r="N3" s="176">
        <f t="shared" si="3"/>
        <v>3.4</v>
      </c>
      <c r="O3" s="176">
        <f t="shared" si="4"/>
        <v>0</v>
      </c>
      <c r="P3" s="176">
        <f t="shared" si="5"/>
        <v>9.86</v>
      </c>
      <c r="Q3" s="176">
        <f t="shared" si="6"/>
        <v>0</v>
      </c>
      <c r="R3" s="176">
        <f t="shared" si="7"/>
        <v>0</v>
      </c>
      <c r="S3" s="176">
        <f t="shared" si="8"/>
        <v>0</v>
      </c>
      <c r="T3" s="176">
        <f t="shared" si="9"/>
        <v>9.16</v>
      </c>
      <c r="U3" s="145">
        <f>SUM(G5:G7)</f>
        <v>2</v>
      </c>
      <c r="V3" s="115" t="s">
        <v>282</v>
      </c>
      <c r="W3" s="145">
        <f>SUM(F5:F7)</f>
        <v>3</v>
      </c>
      <c r="X3" s="178">
        <f t="shared" si="10"/>
        <v>2.1</v>
      </c>
      <c r="Y3" s="176">
        <f>X5</f>
        <v>1.9</v>
      </c>
      <c r="Z3" s="176">
        <f>X6</f>
        <v>2.4</v>
      </c>
      <c r="AA3" s="176">
        <f>X7</f>
        <v>1.0499999999999998</v>
      </c>
      <c r="AB3" s="176">
        <f t="shared" si="11"/>
        <v>2.9</v>
      </c>
      <c r="AC3" s="182">
        <f t="shared" si="12"/>
        <v>3.4</v>
      </c>
      <c r="AD3" s="176">
        <f t="shared" si="13"/>
        <v>2.0499999999999998</v>
      </c>
      <c r="AE3" s="176">
        <f t="shared" si="14"/>
        <v>9.86</v>
      </c>
      <c r="AF3" s="176">
        <f t="shared" si="15"/>
        <v>6.9699999999999989</v>
      </c>
      <c r="AG3" s="176">
        <f t="shared" si="16"/>
        <v>5.9449999999999994</v>
      </c>
      <c r="AH3" s="176">
        <f t="shared" si="17"/>
        <v>20.212999999999997</v>
      </c>
      <c r="AI3" s="176">
        <f t="shared" si="18"/>
        <v>44.337999999999994</v>
      </c>
      <c r="AJ3" s="185" t="str">
        <f t="shared" si="19"/>
        <v>Alan Rogers</v>
      </c>
      <c r="AK3" s="1">
        <f t="shared" si="20"/>
        <v>7</v>
      </c>
    </row>
    <row r="4" spans="1:77" ht="13.15" thickBot="1">
      <c r="B4" s="179"/>
      <c r="C4" s="179" t="str">
        <f>Picks!E4</f>
        <v>Norway draw</v>
      </c>
      <c r="D4" s="180">
        <f>Picks!F4</f>
        <v>1</v>
      </c>
      <c r="E4" s="180">
        <f>Picks!G4</f>
        <v>3.3</v>
      </c>
      <c r="F4" s="179">
        <f>IF(C4="","",INDEX(Odds!K:K,MATCH(C4,Odds!G:G,0)))</f>
        <v>1</v>
      </c>
      <c r="G4" s="179">
        <f>IF(C4="","",Picks!P4)</f>
        <v>0</v>
      </c>
      <c r="H4" s="180">
        <f t="shared" si="0"/>
        <v>0</v>
      </c>
      <c r="I4" s="184" t="str">
        <f t="shared" si="1"/>
        <v>Alan White</v>
      </c>
      <c r="J4" s="176">
        <f>H8</f>
        <v>0</v>
      </c>
      <c r="K4" s="176">
        <f>H9</f>
        <v>0</v>
      </c>
      <c r="L4" s="176">
        <f>H10</f>
        <v>0.36363636363636376</v>
      </c>
      <c r="M4" s="176">
        <f t="shared" si="2"/>
        <v>0</v>
      </c>
      <c r="N4" s="176">
        <f t="shared" si="3"/>
        <v>0</v>
      </c>
      <c r="O4" s="176">
        <f t="shared" si="4"/>
        <v>1.3636363636363638</v>
      </c>
      <c r="P4" s="176">
        <f t="shared" si="5"/>
        <v>0</v>
      </c>
      <c r="Q4" s="176">
        <f t="shared" si="6"/>
        <v>0</v>
      </c>
      <c r="R4" s="176">
        <f t="shared" si="7"/>
        <v>0</v>
      </c>
      <c r="S4" s="176">
        <f t="shared" si="8"/>
        <v>0</v>
      </c>
      <c r="T4" s="176">
        <f t="shared" si="9"/>
        <v>-5.6363636363636367</v>
      </c>
      <c r="U4" s="145">
        <f>SUM(G8:G10)</f>
        <v>1</v>
      </c>
      <c r="V4" s="115" t="s">
        <v>414</v>
      </c>
      <c r="W4" s="145">
        <f>SUM(F8:F10)</f>
        <v>3</v>
      </c>
      <c r="X4" s="178">
        <f t="shared" si="10"/>
        <v>2.2999999999999998</v>
      </c>
      <c r="Y4" s="176">
        <f>X8</f>
        <v>1.0499999999999998</v>
      </c>
      <c r="Z4" s="176">
        <f>X9</f>
        <v>0.61538461538461542</v>
      </c>
      <c r="AA4" s="176">
        <f>X10</f>
        <v>0.36363636363636376</v>
      </c>
      <c r="AB4" s="176">
        <f t="shared" si="11"/>
        <v>2.0499999999999998</v>
      </c>
      <c r="AC4" s="182">
        <f t="shared" si="12"/>
        <v>1.6153846153846154</v>
      </c>
      <c r="AD4" s="176">
        <f t="shared" si="13"/>
        <v>1.3636363636363638</v>
      </c>
      <c r="AE4" s="176">
        <f t="shared" si="14"/>
        <v>3.3115384615384613</v>
      </c>
      <c r="AF4" s="176">
        <f t="shared" si="15"/>
        <v>2.2027972027972029</v>
      </c>
      <c r="AG4" s="176">
        <f t="shared" si="16"/>
        <v>2.7954545454545454</v>
      </c>
      <c r="AH4" s="176">
        <f t="shared" si="17"/>
        <v>4.5157342657342658</v>
      </c>
      <c r="AI4" s="176">
        <f t="shared" si="18"/>
        <v>10.854545454545455</v>
      </c>
      <c r="AJ4" s="185" t="str">
        <f t="shared" si="19"/>
        <v>Alan White</v>
      </c>
      <c r="AK4" s="1">
        <f t="shared" si="20"/>
        <v>7</v>
      </c>
    </row>
    <row r="5" spans="1:77">
      <c r="B5" s="177" t="str">
        <f>$V3</f>
        <v>Alan Rogers</v>
      </c>
      <c r="C5" s="177" t="str">
        <f>Picks!E5</f>
        <v>Cheltenham</v>
      </c>
      <c r="D5" s="178">
        <f>Picks!F5</f>
        <v>7</v>
      </c>
      <c r="E5" s="178">
        <f>Picks!G5</f>
        <v>2.9</v>
      </c>
      <c r="F5" s="177">
        <f>IF(C5="","",INDEX(Odds!K:K,MATCH(C5,Odds!G:G,0)))</f>
        <v>1</v>
      </c>
      <c r="G5" s="177">
        <f>IF(C5="","",Picks!P5)</f>
        <v>1</v>
      </c>
      <c r="H5" s="178">
        <f t="shared" si="0"/>
        <v>1.9</v>
      </c>
      <c r="I5" s="184" t="str">
        <f t="shared" si="1"/>
        <v>Alex Griffin</v>
      </c>
      <c r="J5" s="176">
        <f>H11</f>
        <v>1.2000000000000002</v>
      </c>
      <c r="K5" s="176">
        <f>H12</f>
        <v>0</v>
      </c>
      <c r="L5" s="176">
        <f>H13</f>
        <v>0</v>
      </c>
      <c r="M5" s="176">
        <f t="shared" si="2"/>
        <v>2.2000000000000002</v>
      </c>
      <c r="N5" s="176">
        <f t="shared" si="3"/>
        <v>0</v>
      </c>
      <c r="O5" s="176">
        <f t="shared" si="4"/>
        <v>0</v>
      </c>
      <c r="P5" s="176">
        <f t="shared" si="5"/>
        <v>0</v>
      </c>
      <c r="Q5" s="176">
        <f t="shared" si="6"/>
        <v>0</v>
      </c>
      <c r="R5" s="176">
        <f t="shared" si="7"/>
        <v>0</v>
      </c>
      <c r="S5" s="176">
        <f t="shared" si="8"/>
        <v>0</v>
      </c>
      <c r="T5" s="176">
        <f t="shared" si="9"/>
        <v>-4.8</v>
      </c>
      <c r="U5" s="145">
        <f>SUM(G11:G13)</f>
        <v>1</v>
      </c>
      <c r="V5" s="115" t="s">
        <v>495</v>
      </c>
      <c r="W5" s="145">
        <f>SUM(F11:F13)</f>
        <v>3</v>
      </c>
      <c r="X5" s="178">
        <f t="shared" si="10"/>
        <v>1.9</v>
      </c>
      <c r="Y5" s="176">
        <f>X11</f>
        <v>1.2000000000000002</v>
      </c>
      <c r="Z5" s="176">
        <f>X12</f>
        <v>0.75</v>
      </c>
      <c r="AA5" s="176">
        <f>X13</f>
        <v>0.85000000000000009</v>
      </c>
      <c r="AB5" s="176">
        <f t="shared" si="11"/>
        <v>2.2000000000000002</v>
      </c>
      <c r="AC5" s="182">
        <f t="shared" si="12"/>
        <v>1.75</v>
      </c>
      <c r="AD5" s="176">
        <f t="shared" si="13"/>
        <v>1.85</v>
      </c>
      <c r="AE5" s="176">
        <f t="shared" si="14"/>
        <v>3.8500000000000005</v>
      </c>
      <c r="AF5" s="176">
        <f t="shared" si="15"/>
        <v>3.2375000000000003</v>
      </c>
      <c r="AG5" s="176">
        <f t="shared" si="16"/>
        <v>4.07</v>
      </c>
      <c r="AH5" s="176">
        <f t="shared" si="17"/>
        <v>7.1225000000000014</v>
      </c>
      <c r="AI5" s="176">
        <f t="shared" si="18"/>
        <v>17.080000000000005</v>
      </c>
      <c r="AJ5" s="185" t="str">
        <f t="shared" si="19"/>
        <v>Alex Griffin</v>
      </c>
      <c r="AK5" s="1">
        <f t="shared" si="20"/>
        <v>7</v>
      </c>
    </row>
    <row r="6" spans="1:77">
      <c r="B6" s="177"/>
      <c r="C6" s="177" t="str">
        <f>Picks!E6</f>
        <v>Rotherham draw</v>
      </c>
      <c r="D6" s="178">
        <f>Picks!F6</f>
        <v>7</v>
      </c>
      <c r="E6" s="178">
        <f>Picks!G6</f>
        <v>3.4</v>
      </c>
      <c r="F6" s="177">
        <f>IF(C6="","",INDEX(Odds!K:K,MATCH(C6,Odds!G:G,0)))</f>
        <v>1</v>
      </c>
      <c r="G6" s="177">
        <f>IF(C6="","",Picks!P6)</f>
        <v>1</v>
      </c>
      <c r="H6" s="178">
        <f t="shared" si="0"/>
        <v>2.4</v>
      </c>
      <c r="I6" s="184" t="str">
        <f t="shared" si="1"/>
        <v>Alick Rocca</v>
      </c>
      <c r="J6" s="176">
        <f>H14</f>
        <v>2.4</v>
      </c>
      <c r="K6" s="176">
        <f>H15</f>
        <v>0</v>
      </c>
      <c r="L6" s="176">
        <f>H16</f>
        <v>2</v>
      </c>
      <c r="M6" s="176">
        <f t="shared" si="2"/>
        <v>3.4</v>
      </c>
      <c r="N6" s="176">
        <f t="shared" si="3"/>
        <v>0</v>
      </c>
      <c r="O6" s="176">
        <f t="shared" si="4"/>
        <v>3</v>
      </c>
      <c r="P6" s="176">
        <f t="shared" si="5"/>
        <v>0</v>
      </c>
      <c r="Q6" s="176">
        <f t="shared" si="6"/>
        <v>0</v>
      </c>
      <c r="R6" s="176">
        <f t="shared" si="7"/>
        <v>10.199999999999999</v>
      </c>
      <c r="S6" s="176">
        <f t="shared" si="8"/>
        <v>0</v>
      </c>
      <c r="T6" s="176">
        <f t="shared" si="9"/>
        <v>9.6000000000000014</v>
      </c>
      <c r="U6" s="145">
        <f>SUM(G14:G16)</f>
        <v>2</v>
      </c>
      <c r="V6" s="118" t="s">
        <v>298</v>
      </c>
      <c r="W6" s="145">
        <f>SUM(F14:F16)</f>
        <v>3</v>
      </c>
      <c r="X6" s="178">
        <f t="shared" si="10"/>
        <v>2.4</v>
      </c>
      <c r="Y6" s="176">
        <f>X14</f>
        <v>2.4</v>
      </c>
      <c r="Z6" s="176">
        <f>X15</f>
        <v>2.6</v>
      </c>
      <c r="AA6" s="176">
        <f>X16</f>
        <v>2</v>
      </c>
      <c r="AB6" s="176">
        <f t="shared" si="11"/>
        <v>3.4</v>
      </c>
      <c r="AC6" s="182">
        <f t="shared" si="12"/>
        <v>3.6</v>
      </c>
      <c r="AD6" s="176">
        <f t="shared" si="13"/>
        <v>3</v>
      </c>
      <c r="AE6" s="176">
        <f t="shared" si="14"/>
        <v>12.24</v>
      </c>
      <c r="AF6" s="176">
        <f t="shared" si="15"/>
        <v>10.8</v>
      </c>
      <c r="AG6" s="176">
        <f t="shared" si="16"/>
        <v>10.199999999999999</v>
      </c>
      <c r="AH6" s="176">
        <f t="shared" si="17"/>
        <v>36.72</v>
      </c>
      <c r="AI6" s="176">
        <f t="shared" si="18"/>
        <v>72.960000000000008</v>
      </c>
      <c r="AJ6" s="185" t="str">
        <f t="shared" si="19"/>
        <v>Alick Rocca</v>
      </c>
      <c r="AK6" s="1">
        <f t="shared" si="20"/>
        <v>7</v>
      </c>
    </row>
    <row r="7" spans="1:77" ht="13.15" thickBot="1">
      <c r="B7" s="179"/>
      <c r="C7" s="179" t="str">
        <f>Picks!E7</f>
        <v>Swindon</v>
      </c>
      <c r="D7" s="180">
        <f>Picks!F7</f>
        <v>7</v>
      </c>
      <c r="E7" s="180">
        <f>Picks!G7</f>
        <v>2.0499999999999998</v>
      </c>
      <c r="F7" s="179">
        <f>IF(C7="","",INDEX(Odds!K:K,MATCH(C7,Odds!G:G,0)))</f>
        <v>1</v>
      </c>
      <c r="G7" s="179">
        <f>IF(C7="","",Picks!P7)</f>
        <v>0</v>
      </c>
      <c r="H7" s="180">
        <f t="shared" si="0"/>
        <v>0</v>
      </c>
      <c r="I7" s="184" t="str">
        <f t="shared" si="1"/>
        <v>Andy White</v>
      </c>
      <c r="J7" s="176">
        <f>H17</f>
        <v>0</v>
      </c>
      <c r="K7" s="176">
        <f>H18</f>
        <v>1.4</v>
      </c>
      <c r="L7" s="176">
        <f>H19</f>
        <v>0</v>
      </c>
      <c r="M7" s="176">
        <f t="shared" si="2"/>
        <v>0</v>
      </c>
      <c r="N7" s="176">
        <f t="shared" si="3"/>
        <v>2.4</v>
      </c>
      <c r="O7" s="176">
        <f t="shared" si="4"/>
        <v>0</v>
      </c>
      <c r="P7" s="176">
        <f t="shared" si="5"/>
        <v>0</v>
      </c>
      <c r="Q7" s="176">
        <f t="shared" si="6"/>
        <v>0</v>
      </c>
      <c r="R7" s="176">
        <f t="shared" si="7"/>
        <v>0</v>
      </c>
      <c r="S7" s="176">
        <f t="shared" si="8"/>
        <v>0</v>
      </c>
      <c r="T7" s="176">
        <f t="shared" si="9"/>
        <v>-4.5999999999999996</v>
      </c>
      <c r="U7" s="145">
        <f>SUM(G17:G19)</f>
        <v>1</v>
      </c>
      <c r="V7" s="115" t="s">
        <v>274</v>
      </c>
      <c r="W7" s="145">
        <f>SUM(F17:F19)</f>
        <v>3</v>
      </c>
      <c r="X7" s="178">
        <f t="shared" si="10"/>
        <v>1.0499999999999998</v>
      </c>
      <c r="Y7" s="176">
        <f>X17</f>
        <v>1.1000000000000001</v>
      </c>
      <c r="Z7" s="176">
        <f>X18</f>
        <v>1.4</v>
      </c>
      <c r="AA7" s="176">
        <f>X19</f>
        <v>1.6</v>
      </c>
      <c r="AB7" s="176">
        <f t="shared" si="11"/>
        <v>2.1</v>
      </c>
      <c r="AC7" s="182">
        <f t="shared" si="12"/>
        <v>2.4</v>
      </c>
      <c r="AD7" s="176">
        <f t="shared" si="13"/>
        <v>2.6</v>
      </c>
      <c r="AE7" s="176">
        <f t="shared" si="14"/>
        <v>5.04</v>
      </c>
      <c r="AF7" s="176">
        <f t="shared" si="15"/>
        <v>6.24</v>
      </c>
      <c r="AG7" s="176">
        <f t="shared" si="16"/>
        <v>5.4600000000000009</v>
      </c>
      <c r="AH7" s="176">
        <f t="shared" si="17"/>
        <v>13.103999999999999</v>
      </c>
      <c r="AI7" s="176">
        <f t="shared" si="18"/>
        <v>29.944000000000003</v>
      </c>
      <c r="AJ7" s="185" t="str">
        <f t="shared" si="19"/>
        <v>Andy White</v>
      </c>
      <c r="AK7" s="1">
        <f t="shared" si="20"/>
        <v>7</v>
      </c>
    </row>
    <row r="8" spans="1:77">
      <c r="B8" s="177" t="str">
        <f>$V4</f>
        <v>Alan White</v>
      </c>
      <c r="C8" s="177" t="str">
        <f>Picks!E8</f>
        <v>Swindon</v>
      </c>
      <c r="D8" s="178">
        <f>Picks!F8</f>
        <v>7</v>
      </c>
      <c r="E8" s="178">
        <f>Picks!G8</f>
        <v>2.0499999999999998</v>
      </c>
      <c r="F8" s="177">
        <f>IF(C8="","",INDEX(Odds!K:K,MATCH(C8,Odds!G:G,0)))</f>
        <v>1</v>
      </c>
      <c r="G8" s="177">
        <f>IF(C8="","",Picks!P8)</f>
        <v>0</v>
      </c>
      <c r="H8" s="178">
        <f t="shared" si="0"/>
        <v>0</v>
      </c>
      <c r="I8" s="184" t="str">
        <f t="shared" si="1"/>
        <v>Barry Birchall</v>
      </c>
      <c r="J8" s="176">
        <f>H20</f>
        <v>0</v>
      </c>
      <c r="K8" s="176">
        <f>H21</f>
        <v>0.36363636363636376</v>
      </c>
      <c r="L8" s="176">
        <f>H22</f>
        <v>0</v>
      </c>
      <c r="M8" s="176">
        <f t="shared" si="2"/>
        <v>0</v>
      </c>
      <c r="N8" s="176">
        <f t="shared" si="3"/>
        <v>1.3636363636363638</v>
      </c>
      <c r="O8" s="176">
        <f t="shared" si="4"/>
        <v>0</v>
      </c>
      <c r="P8" s="176">
        <f t="shared" si="5"/>
        <v>0</v>
      </c>
      <c r="Q8" s="176">
        <f t="shared" si="6"/>
        <v>0</v>
      </c>
      <c r="R8" s="176">
        <f t="shared" si="7"/>
        <v>0</v>
      </c>
      <c r="S8" s="176">
        <f t="shared" si="8"/>
        <v>0</v>
      </c>
      <c r="T8" s="176">
        <f t="shared" si="9"/>
        <v>-5.6363636363636367</v>
      </c>
      <c r="U8" s="145">
        <f>SUM(G20:G22)</f>
        <v>1</v>
      </c>
      <c r="V8" s="118" t="s">
        <v>268</v>
      </c>
      <c r="W8" s="145">
        <f>SUM(F20:F22)</f>
        <v>3</v>
      </c>
      <c r="X8" s="178">
        <f t="shared" si="10"/>
        <v>1.0499999999999998</v>
      </c>
      <c r="Y8" s="176">
        <f>X20</f>
        <v>0.61538461538461542</v>
      </c>
      <c r="Z8" s="176">
        <f>X21</f>
        <v>0.36363636363636376</v>
      </c>
      <c r="AA8" s="176">
        <f>X22</f>
        <v>1.0499999999999998</v>
      </c>
      <c r="AB8" s="176">
        <f t="shared" si="11"/>
        <v>1.6153846153846154</v>
      </c>
      <c r="AC8" s="182">
        <f t="shared" si="12"/>
        <v>1.3636363636363638</v>
      </c>
      <c r="AD8" s="176">
        <f t="shared" si="13"/>
        <v>2.0499999999999998</v>
      </c>
      <c r="AE8" s="176">
        <f t="shared" si="14"/>
        <v>2.2027972027972029</v>
      </c>
      <c r="AF8" s="176">
        <f t="shared" si="15"/>
        <v>2.7954545454545454</v>
      </c>
      <c r="AG8" s="176">
        <f t="shared" si="16"/>
        <v>3.3115384615384613</v>
      </c>
      <c r="AH8" s="176">
        <f t="shared" si="17"/>
        <v>4.515734265734265</v>
      </c>
      <c r="AI8" s="176">
        <f t="shared" si="18"/>
        <v>10.854545454545452</v>
      </c>
      <c r="AJ8" s="185" t="str">
        <f t="shared" si="19"/>
        <v>Barry Birchall</v>
      </c>
      <c r="AK8" s="1">
        <f t="shared" si="20"/>
        <v>7</v>
      </c>
    </row>
    <row r="9" spans="1:77">
      <c r="B9" s="177"/>
      <c r="C9" s="177" t="str">
        <f>Picks!E9</f>
        <v>Plymouth</v>
      </c>
      <c r="D9" s="178">
        <f>Picks!F9</f>
        <v>7</v>
      </c>
      <c r="E9" s="178">
        <f>Picks!G9</f>
        <v>1.6153846153846154</v>
      </c>
      <c r="F9" s="177">
        <f>IF(C9="","",INDEX(Odds!K:K,MATCH(C9,Odds!G:G,0)))</f>
        <v>1</v>
      </c>
      <c r="G9" s="177">
        <f>IF(C9="","",Picks!P9)</f>
        <v>0</v>
      </c>
      <c r="H9" s="178">
        <f t="shared" si="0"/>
        <v>0</v>
      </c>
      <c r="I9" s="184" t="str">
        <f t="shared" si="1"/>
        <v>Ben Rosser</v>
      </c>
      <c r="J9" s="176">
        <f>H23</f>
        <v>2.1</v>
      </c>
      <c r="K9" s="176">
        <f>H24</f>
        <v>1.4</v>
      </c>
      <c r="L9" s="176">
        <f>H25</f>
        <v>0</v>
      </c>
      <c r="M9" s="176">
        <f t="shared" si="2"/>
        <v>3.1</v>
      </c>
      <c r="N9" s="176">
        <f t="shared" si="3"/>
        <v>2.4</v>
      </c>
      <c r="O9" s="176">
        <f t="shared" si="4"/>
        <v>0</v>
      </c>
      <c r="P9" s="176">
        <f t="shared" si="5"/>
        <v>7.4399999999999995</v>
      </c>
      <c r="Q9" s="176">
        <f t="shared" si="6"/>
        <v>0</v>
      </c>
      <c r="R9" s="176">
        <f t="shared" si="7"/>
        <v>0</v>
      </c>
      <c r="S9" s="176">
        <f t="shared" si="8"/>
        <v>0</v>
      </c>
      <c r="T9" s="176">
        <f t="shared" si="9"/>
        <v>5.9399999999999995</v>
      </c>
      <c r="U9" s="145">
        <f>SUM(G23:G25)</f>
        <v>2</v>
      </c>
      <c r="V9" s="118" t="s">
        <v>346</v>
      </c>
      <c r="W9" s="145">
        <f>SUM(F23:F25)</f>
        <v>3</v>
      </c>
      <c r="X9" s="178">
        <f t="shared" si="10"/>
        <v>0.61538461538461542</v>
      </c>
      <c r="Y9" s="176">
        <f>X23</f>
        <v>2.1</v>
      </c>
      <c r="Z9" s="176">
        <f>X24</f>
        <v>1.4</v>
      </c>
      <c r="AA9" s="176">
        <f>X25</f>
        <v>1.6</v>
      </c>
      <c r="AB9" s="176">
        <f t="shared" si="11"/>
        <v>3.1</v>
      </c>
      <c r="AC9" s="182">
        <f t="shared" si="12"/>
        <v>2.4</v>
      </c>
      <c r="AD9" s="176">
        <f t="shared" si="13"/>
        <v>2.6</v>
      </c>
      <c r="AE9" s="176">
        <f t="shared" si="14"/>
        <v>7.4399999999999995</v>
      </c>
      <c r="AF9" s="176">
        <f t="shared" si="15"/>
        <v>6.24</v>
      </c>
      <c r="AG9" s="176">
        <f t="shared" si="16"/>
        <v>8.06</v>
      </c>
      <c r="AH9" s="176">
        <f t="shared" si="17"/>
        <v>19.344000000000001</v>
      </c>
      <c r="AI9" s="176">
        <f t="shared" si="18"/>
        <v>42.184000000000005</v>
      </c>
      <c r="AJ9" s="185" t="str">
        <f t="shared" si="19"/>
        <v>Ben Rosser</v>
      </c>
      <c r="AK9" s="1">
        <f t="shared" si="20"/>
        <v>7</v>
      </c>
    </row>
    <row r="10" spans="1:77" ht="13.15" thickBot="1">
      <c r="B10" s="179"/>
      <c r="C10" s="179" t="str">
        <f>Picks!E10</f>
        <v>Stockport</v>
      </c>
      <c r="D10" s="180">
        <f>Picks!F10</f>
        <v>7</v>
      </c>
      <c r="E10" s="180">
        <f>Picks!G10</f>
        <v>1.3636363636363638</v>
      </c>
      <c r="F10" s="179">
        <f>IF(C10="","",INDEX(Odds!K:K,MATCH(C10,Odds!G:G,0)))</f>
        <v>1</v>
      </c>
      <c r="G10" s="179">
        <f>IF(C10="","",Picks!P10)</f>
        <v>1</v>
      </c>
      <c r="H10" s="180">
        <f t="shared" si="0"/>
        <v>0.36363636363636376</v>
      </c>
      <c r="I10" s="184" t="str">
        <f t="shared" si="1"/>
        <v>Bob Bailey</v>
      </c>
      <c r="J10" s="176">
        <f>H26</f>
        <v>0</v>
      </c>
      <c r="K10" s="176">
        <f>H27</f>
        <v>0</v>
      </c>
      <c r="L10" s="176">
        <f>H28</f>
        <v>1.4</v>
      </c>
      <c r="M10" s="176">
        <f t="shared" si="2"/>
        <v>0</v>
      </c>
      <c r="N10" s="176">
        <f t="shared" si="3"/>
        <v>0</v>
      </c>
      <c r="O10" s="176">
        <f t="shared" si="4"/>
        <v>2.4</v>
      </c>
      <c r="P10" s="176">
        <f t="shared" si="5"/>
        <v>0</v>
      </c>
      <c r="Q10" s="176">
        <f t="shared" si="6"/>
        <v>0</v>
      </c>
      <c r="R10" s="176">
        <f t="shared" si="7"/>
        <v>0</v>
      </c>
      <c r="S10" s="176">
        <f t="shared" si="8"/>
        <v>0</v>
      </c>
      <c r="T10" s="176">
        <f t="shared" si="9"/>
        <v>-4.5999999999999996</v>
      </c>
      <c r="U10" s="145">
        <f>SUM(G26:G28)</f>
        <v>1</v>
      </c>
      <c r="V10" s="115" t="s">
        <v>480</v>
      </c>
      <c r="W10" s="145">
        <f>SUM(F26:F28)</f>
        <v>3</v>
      </c>
      <c r="X10" s="178">
        <f t="shared" si="10"/>
        <v>0.36363636363636376</v>
      </c>
      <c r="Y10" s="176">
        <f>X26</f>
        <v>0.61538461538461542</v>
      </c>
      <c r="Z10" s="176">
        <f>X27</f>
        <v>0.85000000000000009</v>
      </c>
      <c r="AA10" s="176">
        <f>X28</f>
        <v>1.4</v>
      </c>
      <c r="AB10" s="176">
        <f t="shared" si="11"/>
        <v>1.6153846153846154</v>
      </c>
      <c r="AC10" s="182">
        <f t="shared" si="12"/>
        <v>1.85</v>
      </c>
      <c r="AD10" s="176">
        <f t="shared" si="13"/>
        <v>2.4</v>
      </c>
      <c r="AE10" s="176">
        <f t="shared" si="14"/>
        <v>2.9884615384615385</v>
      </c>
      <c r="AF10" s="176">
        <f t="shared" si="15"/>
        <v>4.4399999999999995</v>
      </c>
      <c r="AG10" s="176">
        <f t="shared" si="16"/>
        <v>3.8769230769230769</v>
      </c>
      <c r="AH10" s="176">
        <f t="shared" si="17"/>
        <v>7.1723076923076921</v>
      </c>
      <c r="AI10" s="176">
        <f t="shared" si="18"/>
        <v>17.343076923076922</v>
      </c>
      <c r="AJ10" s="185" t="str">
        <f t="shared" si="19"/>
        <v>Bob Bailey</v>
      </c>
      <c r="AK10" s="1">
        <f t="shared" si="20"/>
        <v>7</v>
      </c>
    </row>
    <row r="11" spans="1:77">
      <c r="B11" s="177" t="str">
        <f>$V5</f>
        <v>Alex Griffin</v>
      </c>
      <c r="C11" s="177" t="str">
        <f>Picks!E11</f>
        <v>Altrincham</v>
      </c>
      <c r="D11" s="178">
        <f>Picks!F11</f>
        <v>1</v>
      </c>
      <c r="E11" s="178">
        <f>Picks!G11</f>
        <v>2.2000000000000002</v>
      </c>
      <c r="F11" s="177">
        <f>IF(C11="","",INDEX(Odds!K:K,MATCH(C11,Odds!G:G,0)))</f>
        <v>1</v>
      </c>
      <c r="G11" s="177">
        <f>IF(C11="","",Picks!P11)</f>
        <v>1</v>
      </c>
      <c r="H11" s="178">
        <f t="shared" si="0"/>
        <v>1.2000000000000002</v>
      </c>
      <c r="I11" s="184" t="str">
        <f t="shared" si="1"/>
        <v>Charlie Griffiths</v>
      </c>
      <c r="J11" s="176">
        <f>H29</f>
        <v>0</v>
      </c>
      <c r="K11" s="176">
        <f>H30</f>
        <v>0</v>
      </c>
      <c r="L11" s="176">
        <f>H31</f>
        <v>0</v>
      </c>
      <c r="M11" s="176">
        <f t="shared" si="2"/>
        <v>0</v>
      </c>
      <c r="N11" s="176">
        <f t="shared" si="3"/>
        <v>0</v>
      </c>
      <c r="O11" s="176">
        <f t="shared" si="4"/>
        <v>0</v>
      </c>
      <c r="P11" s="176">
        <f t="shared" si="5"/>
        <v>0</v>
      </c>
      <c r="Q11" s="176">
        <f t="shared" si="6"/>
        <v>0</v>
      </c>
      <c r="R11" s="176">
        <f t="shared" si="7"/>
        <v>0</v>
      </c>
      <c r="S11" s="176">
        <f t="shared" si="8"/>
        <v>0</v>
      </c>
      <c r="T11" s="176">
        <f t="shared" si="9"/>
        <v>-7</v>
      </c>
      <c r="U11" s="145">
        <f>SUM(G29:G31)</f>
        <v>0</v>
      </c>
      <c r="V11" s="115" t="s">
        <v>291</v>
      </c>
      <c r="W11" s="145">
        <f>SUM(F29:F31)</f>
        <v>3</v>
      </c>
      <c r="X11" s="178">
        <f t="shared" si="10"/>
        <v>1.2000000000000002</v>
      </c>
      <c r="Y11" s="176">
        <f>X29</f>
        <v>1.1499999999999999</v>
      </c>
      <c r="Z11" s="176">
        <f>X30</f>
        <v>1.5</v>
      </c>
      <c r="AA11" s="176">
        <f>X31</f>
        <v>1.5</v>
      </c>
      <c r="AB11" s="176">
        <f t="shared" si="11"/>
        <v>2.15</v>
      </c>
      <c r="AC11" s="182">
        <f t="shared" si="12"/>
        <v>2.5</v>
      </c>
      <c r="AD11" s="176">
        <f t="shared" si="13"/>
        <v>2.5</v>
      </c>
      <c r="AE11" s="176">
        <f t="shared" si="14"/>
        <v>5.375</v>
      </c>
      <c r="AF11" s="176">
        <f t="shared" si="15"/>
        <v>6.25</v>
      </c>
      <c r="AG11" s="176">
        <f t="shared" si="16"/>
        <v>5.375</v>
      </c>
      <c r="AH11" s="176">
        <f t="shared" si="17"/>
        <v>13.4375</v>
      </c>
      <c r="AI11" s="176">
        <f t="shared" si="18"/>
        <v>30.587499999999999</v>
      </c>
      <c r="AJ11" s="185" t="str">
        <f t="shared" si="19"/>
        <v>Charlie Griffiths</v>
      </c>
      <c r="AK11" s="1">
        <f t="shared" si="20"/>
        <v>7</v>
      </c>
    </row>
    <row r="12" spans="1:77">
      <c r="B12" s="177"/>
      <c r="C12" s="177" t="str">
        <f>Picks!E12</f>
        <v>Southend</v>
      </c>
      <c r="D12" s="178">
        <f>Picks!F12</f>
        <v>1</v>
      </c>
      <c r="E12" s="178">
        <f>Picks!G12</f>
        <v>1.75</v>
      </c>
      <c r="F12" s="177">
        <f>IF(C12="","",INDEX(Odds!K:K,MATCH(C12,Odds!G:G,0)))</f>
        <v>1</v>
      </c>
      <c r="G12" s="177">
        <f>IF(C12="","",Picks!P12)</f>
        <v>0</v>
      </c>
      <c r="H12" s="178">
        <f t="shared" si="0"/>
        <v>0</v>
      </c>
      <c r="I12" s="184" t="str">
        <f t="shared" si="1"/>
        <v>Chris Bow</v>
      </c>
      <c r="J12" s="176">
        <f>H32</f>
        <v>0</v>
      </c>
      <c r="K12" s="176">
        <f>H33</f>
        <v>1.1499999999999999</v>
      </c>
      <c r="L12" s="176">
        <f>H34</f>
        <v>0</v>
      </c>
      <c r="M12" s="176">
        <f t="shared" si="2"/>
        <v>0</v>
      </c>
      <c r="N12" s="176">
        <f t="shared" si="3"/>
        <v>2.15</v>
      </c>
      <c r="O12" s="176">
        <f t="shared" si="4"/>
        <v>0</v>
      </c>
      <c r="P12" s="176">
        <f t="shared" si="5"/>
        <v>0</v>
      </c>
      <c r="Q12" s="176">
        <f t="shared" si="6"/>
        <v>0</v>
      </c>
      <c r="R12" s="176">
        <f t="shared" si="7"/>
        <v>0</v>
      </c>
      <c r="S12" s="176">
        <f t="shared" si="8"/>
        <v>0</v>
      </c>
      <c r="T12" s="176">
        <f t="shared" si="9"/>
        <v>-4.8499999999999996</v>
      </c>
      <c r="U12" s="145">
        <f>SUM(G32:G34)</f>
        <v>1</v>
      </c>
      <c r="V12" s="115" t="s">
        <v>295</v>
      </c>
      <c r="W12" s="145">
        <f>SUM(F32:F34)</f>
        <v>3</v>
      </c>
      <c r="X12" s="178">
        <f t="shared" si="10"/>
        <v>0.75</v>
      </c>
      <c r="Y12" s="176">
        <f>X32</f>
        <v>1.2999999999999998</v>
      </c>
      <c r="Z12" s="176">
        <f>X33</f>
        <v>1.1499999999999999</v>
      </c>
      <c r="AA12" s="176">
        <f>X34</f>
        <v>1.6</v>
      </c>
      <c r="AB12" s="176">
        <f t="shared" si="11"/>
        <v>2.2999999999999998</v>
      </c>
      <c r="AC12" s="182">
        <f t="shared" si="12"/>
        <v>2.15</v>
      </c>
      <c r="AD12" s="176">
        <f t="shared" si="13"/>
        <v>2.6</v>
      </c>
      <c r="AE12" s="176">
        <f t="shared" si="14"/>
        <v>4.9449999999999994</v>
      </c>
      <c r="AF12" s="176">
        <f t="shared" si="15"/>
        <v>5.59</v>
      </c>
      <c r="AG12" s="176">
        <f t="shared" si="16"/>
        <v>5.9799999999999995</v>
      </c>
      <c r="AH12" s="176">
        <f t="shared" si="17"/>
        <v>12.856999999999999</v>
      </c>
      <c r="AI12" s="176">
        <f t="shared" si="18"/>
        <v>29.421999999999997</v>
      </c>
      <c r="AJ12" s="185" t="str">
        <f t="shared" si="19"/>
        <v>Chris Bow</v>
      </c>
      <c r="AK12" s="1">
        <f t="shared" si="20"/>
        <v>7</v>
      </c>
    </row>
    <row r="13" spans="1:77" ht="13.15" thickBot="1">
      <c r="B13" s="179"/>
      <c r="C13" s="179" t="str">
        <f>Picks!E13</f>
        <v>Fleetwood</v>
      </c>
      <c r="D13" s="180">
        <f>Picks!F13</f>
        <v>7</v>
      </c>
      <c r="E13" s="180">
        <f>Picks!G13</f>
        <v>1.85</v>
      </c>
      <c r="F13" s="179">
        <f>IF(C13="","",INDEX(Odds!K:K,MATCH(C13,Odds!G:G,0)))</f>
        <v>1</v>
      </c>
      <c r="G13" s="179">
        <f>IF(C13="","",Picks!P13)</f>
        <v>0</v>
      </c>
      <c r="H13" s="180">
        <f t="shared" si="0"/>
        <v>0</v>
      </c>
      <c r="I13" s="184" t="str">
        <f t="shared" si="1"/>
        <v>Chris Griffin</v>
      </c>
      <c r="J13" s="176">
        <f>H35</f>
        <v>0</v>
      </c>
      <c r="K13" s="176">
        <f>H36</f>
        <v>0</v>
      </c>
      <c r="L13" s="176">
        <f>H37</f>
        <v>0</v>
      </c>
      <c r="M13" s="176">
        <f t="shared" si="2"/>
        <v>0</v>
      </c>
      <c r="N13" s="176">
        <f t="shared" si="3"/>
        <v>0</v>
      </c>
      <c r="O13" s="176">
        <f t="shared" si="4"/>
        <v>0</v>
      </c>
      <c r="P13" s="176">
        <f t="shared" si="5"/>
        <v>0</v>
      </c>
      <c r="Q13" s="176">
        <f t="shared" si="6"/>
        <v>0</v>
      </c>
      <c r="R13" s="176">
        <f t="shared" si="7"/>
        <v>0</v>
      </c>
      <c r="S13" s="176">
        <f t="shared" si="8"/>
        <v>0</v>
      </c>
      <c r="T13" s="176">
        <f t="shared" si="9"/>
        <v>-7</v>
      </c>
      <c r="U13" s="145">
        <f>SUM(G35:G37)</f>
        <v>0</v>
      </c>
      <c r="V13" s="115" t="s">
        <v>290</v>
      </c>
      <c r="W13" s="145">
        <f>SUM(F35:F37)</f>
        <v>3</v>
      </c>
      <c r="X13" s="178">
        <f t="shared" si="10"/>
        <v>0.85000000000000009</v>
      </c>
      <c r="Y13" s="176">
        <f>X35</f>
        <v>2.4</v>
      </c>
      <c r="Z13" s="176">
        <f>X36</f>
        <v>1.7000000000000002</v>
      </c>
      <c r="AA13" s="176">
        <f>X37</f>
        <v>2.1</v>
      </c>
      <c r="AB13" s="176">
        <f t="shared" si="11"/>
        <v>3.4</v>
      </c>
      <c r="AC13" s="182">
        <f t="shared" si="12"/>
        <v>2.7</v>
      </c>
      <c r="AD13" s="176">
        <f t="shared" si="13"/>
        <v>3.1</v>
      </c>
      <c r="AE13" s="176">
        <f t="shared" si="14"/>
        <v>9.18</v>
      </c>
      <c r="AF13" s="176">
        <f t="shared" si="15"/>
        <v>8.370000000000001</v>
      </c>
      <c r="AG13" s="176">
        <f t="shared" si="16"/>
        <v>10.54</v>
      </c>
      <c r="AH13" s="176">
        <f t="shared" si="17"/>
        <v>28.457999999999998</v>
      </c>
      <c r="AI13" s="176">
        <f t="shared" si="18"/>
        <v>58.74799999999999</v>
      </c>
      <c r="AJ13" s="185" t="str">
        <f t="shared" si="19"/>
        <v>Chris Griffin</v>
      </c>
      <c r="AK13" s="1">
        <f t="shared" si="20"/>
        <v>7</v>
      </c>
    </row>
    <row r="14" spans="1:77">
      <c r="B14" s="177" t="str">
        <f>$V6</f>
        <v>Alick Rocca</v>
      </c>
      <c r="C14" s="177" t="str">
        <f>Picks!E14</f>
        <v>Wycombe draw</v>
      </c>
      <c r="D14" s="178">
        <f>Picks!F14</f>
        <v>7</v>
      </c>
      <c r="E14" s="178">
        <f>Picks!G14</f>
        <v>3.4</v>
      </c>
      <c r="F14" s="177">
        <f>IF(C14="","",INDEX(Odds!K:K,MATCH(C14,Odds!G:G,0)))</f>
        <v>1</v>
      </c>
      <c r="G14" s="177">
        <f>IF(C14="","",Picks!P14)</f>
        <v>1</v>
      </c>
      <c r="H14" s="178">
        <f t="shared" si="0"/>
        <v>2.4</v>
      </c>
      <c r="I14" s="184" t="str">
        <f t="shared" si="1"/>
        <v>Chris Luck</v>
      </c>
      <c r="J14" s="176">
        <f>H38</f>
        <v>0</v>
      </c>
      <c r="K14" s="176">
        <f>H39</f>
        <v>0</v>
      </c>
      <c r="L14" s="176">
        <f>H40</f>
        <v>0</v>
      </c>
      <c r="M14" s="176">
        <f t="shared" si="2"/>
        <v>0</v>
      </c>
      <c r="N14" s="176">
        <f t="shared" si="3"/>
        <v>0</v>
      </c>
      <c r="O14" s="176">
        <f t="shared" si="4"/>
        <v>0</v>
      </c>
      <c r="P14" s="176">
        <f t="shared" si="5"/>
        <v>0</v>
      </c>
      <c r="Q14" s="176">
        <f t="shared" si="6"/>
        <v>0</v>
      </c>
      <c r="R14" s="176">
        <f t="shared" si="7"/>
        <v>0</v>
      </c>
      <c r="S14" s="176">
        <f t="shared" si="8"/>
        <v>0</v>
      </c>
      <c r="T14" s="176">
        <f t="shared" si="9"/>
        <v>-7</v>
      </c>
      <c r="U14" s="145">
        <f>SUM(G38:G40)</f>
        <v>0</v>
      </c>
      <c r="V14" s="115" t="s">
        <v>296</v>
      </c>
      <c r="W14" s="145">
        <f>SUM(F38:F40)</f>
        <v>3</v>
      </c>
      <c r="X14" s="178">
        <f t="shared" si="10"/>
        <v>2.4</v>
      </c>
      <c r="Y14" s="176">
        <f>X38</f>
        <v>1.5</v>
      </c>
      <c r="Z14" s="176">
        <f>X39</f>
        <v>1.1499999999999999</v>
      </c>
      <c r="AA14" s="176">
        <f>X40</f>
        <v>1.1000000000000001</v>
      </c>
      <c r="AB14" s="176">
        <f t="shared" si="11"/>
        <v>2.5</v>
      </c>
      <c r="AC14" s="182">
        <f t="shared" si="12"/>
        <v>2.15</v>
      </c>
      <c r="AD14" s="176">
        <f t="shared" si="13"/>
        <v>2.1</v>
      </c>
      <c r="AE14" s="176">
        <f t="shared" si="14"/>
        <v>5.375</v>
      </c>
      <c r="AF14" s="176">
        <f t="shared" si="15"/>
        <v>4.5150000000000006</v>
      </c>
      <c r="AG14" s="176">
        <f t="shared" si="16"/>
        <v>5.25</v>
      </c>
      <c r="AH14" s="176">
        <f t="shared" si="17"/>
        <v>11.287500000000001</v>
      </c>
      <c r="AI14" s="176">
        <f t="shared" si="18"/>
        <v>26.177500000000002</v>
      </c>
      <c r="AJ14" s="185" t="str">
        <f t="shared" si="19"/>
        <v>Chris Luck</v>
      </c>
      <c r="AK14" s="1">
        <f t="shared" si="20"/>
        <v>7</v>
      </c>
    </row>
    <row r="15" spans="1:77">
      <c r="B15" s="177"/>
      <c r="C15" s="177" t="str">
        <f>Picks!E15</f>
        <v>Oldham draw</v>
      </c>
      <c r="D15" s="178">
        <f>Picks!F15</f>
        <v>7</v>
      </c>
      <c r="E15" s="178">
        <f>Picks!G15</f>
        <v>3.6</v>
      </c>
      <c r="F15" s="177">
        <f>IF(C15="","",INDEX(Odds!K:K,MATCH(C15,Odds!G:G,0)))</f>
        <v>1</v>
      </c>
      <c r="G15" s="177">
        <f>IF(C15="","",Picks!P15)</f>
        <v>0</v>
      </c>
      <c r="H15" s="178">
        <f t="shared" si="0"/>
        <v>0</v>
      </c>
      <c r="I15" s="184" t="str">
        <f t="shared" si="1"/>
        <v>Dan Gibbard</v>
      </c>
      <c r="J15" s="176">
        <f>H41</f>
        <v>0</v>
      </c>
      <c r="K15" s="176">
        <f>H42</f>
        <v>0.61538461538461542</v>
      </c>
      <c r="L15" s="176">
        <f>H43</f>
        <v>0.5</v>
      </c>
      <c r="M15" s="176">
        <f t="shared" si="2"/>
        <v>0</v>
      </c>
      <c r="N15" s="176">
        <f t="shared" si="3"/>
        <v>1.6153846153846154</v>
      </c>
      <c r="O15" s="176">
        <f t="shared" si="4"/>
        <v>1.5</v>
      </c>
      <c r="P15" s="176">
        <f t="shared" si="5"/>
        <v>0</v>
      </c>
      <c r="Q15" s="176">
        <f t="shared" si="6"/>
        <v>2.4230769230769234</v>
      </c>
      <c r="R15" s="176">
        <f t="shared" si="7"/>
        <v>0</v>
      </c>
      <c r="S15" s="176">
        <f t="shared" si="8"/>
        <v>0</v>
      </c>
      <c r="T15" s="176">
        <f t="shared" si="9"/>
        <v>-1.4615384615384617</v>
      </c>
      <c r="U15" s="145">
        <f>SUM(G41:G43)</f>
        <v>2</v>
      </c>
      <c r="V15" s="115" t="s">
        <v>481</v>
      </c>
      <c r="W15" s="145">
        <f>SUM(F41:F43)</f>
        <v>3</v>
      </c>
      <c r="X15" s="178">
        <f t="shared" si="10"/>
        <v>2.6</v>
      </c>
      <c r="Y15" s="176">
        <f>X41</f>
        <v>0.75</v>
      </c>
      <c r="Z15" s="176">
        <f>X42</f>
        <v>0.61538461538461542</v>
      </c>
      <c r="AA15" s="176">
        <f>X43</f>
        <v>0.5</v>
      </c>
      <c r="AB15" s="176">
        <f t="shared" si="11"/>
        <v>1.75</v>
      </c>
      <c r="AC15" s="182">
        <f t="shared" si="12"/>
        <v>1.6153846153846154</v>
      </c>
      <c r="AD15" s="176">
        <f t="shared" si="13"/>
        <v>1.5</v>
      </c>
      <c r="AE15" s="176">
        <f t="shared" si="14"/>
        <v>2.8269230769230771</v>
      </c>
      <c r="AF15" s="176">
        <f t="shared" si="15"/>
        <v>2.4230769230769234</v>
      </c>
      <c r="AG15" s="176">
        <f t="shared" si="16"/>
        <v>2.625</v>
      </c>
      <c r="AH15" s="176">
        <f t="shared" si="17"/>
        <v>4.2403846153846159</v>
      </c>
      <c r="AI15" s="176">
        <f t="shared" si="18"/>
        <v>9.9807692307692299</v>
      </c>
      <c r="AJ15" s="185" t="str">
        <f t="shared" si="19"/>
        <v>Dan Gibbard</v>
      </c>
      <c r="AK15" s="1">
        <f t="shared" si="20"/>
        <v>7</v>
      </c>
    </row>
    <row r="16" spans="1:77" ht="13.15" thickBot="1">
      <c r="B16" s="179"/>
      <c r="C16" s="179" t="str">
        <f>Picks!E16</f>
        <v>Shrewsbury draw</v>
      </c>
      <c r="D16" s="180">
        <f>Picks!F16</f>
        <v>7</v>
      </c>
      <c r="E16" s="180">
        <f>Picks!G16</f>
        <v>3</v>
      </c>
      <c r="F16" s="179">
        <f>IF(C16="","",INDEX(Odds!K:K,MATCH(C16,Odds!G:G,0)))</f>
        <v>1</v>
      </c>
      <c r="G16" s="179">
        <f>IF(C16="","",Picks!P16)</f>
        <v>1</v>
      </c>
      <c r="H16" s="180">
        <f t="shared" si="0"/>
        <v>2</v>
      </c>
      <c r="I16" s="184" t="str">
        <f t="shared" si="1"/>
        <v>Dave Bell</v>
      </c>
      <c r="J16" s="176">
        <f>H44</f>
        <v>2.1</v>
      </c>
      <c r="K16" s="176">
        <f>H45</f>
        <v>1.5</v>
      </c>
      <c r="L16" s="176">
        <f>H46</f>
        <v>0</v>
      </c>
      <c r="M16" s="176">
        <f t="shared" si="2"/>
        <v>3.1</v>
      </c>
      <c r="N16" s="176">
        <f t="shared" si="3"/>
        <v>2.5</v>
      </c>
      <c r="O16" s="176">
        <f t="shared" si="4"/>
        <v>0</v>
      </c>
      <c r="P16" s="176">
        <f t="shared" si="5"/>
        <v>7.75</v>
      </c>
      <c r="Q16" s="176">
        <f t="shared" si="6"/>
        <v>0</v>
      </c>
      <c r="R16" s="176">
        <f t="shared" si="7"/>
        <v>0</v>
      </c>
      <c r="S16" s="176">
        <f t="shared" si="8"/>
        <v>0</v>
      </c>
      <c r="T16" s="176">
        <f t="shared" si="9"/>
        <v>6.35</v>
      </c>
      <c r="U16" s="145">
        <f>SUM(G44:G46)</f>
        <v>2</v>
      </c>
      <c r="V16" s="115" t="s">
        <v>351</v>
      </c>
      <c r="W16" s="145">
        <f>SUM(F44:F46)</f>
        <v>3</v>
      </c>
      <c r="X16" s="178">
        <f t="shared" si="10"/>
        <v>2</v>
      </c>
      <c r="Y16" s="176">
        <f>X44</f>
        <v>2.1</v>
      </c>
      <c r="Z16" s="176">
        <f>X45</f>
        <v>1.5</v>
      </c>
      <c r="AA16" s="176">
        <f>X46</f>
        <v>4</v>
      </c>
      <c r="AB16" s="176">
        <f t="shared" si="11"/>
        <v>3.1</v>
      </c>
      <c r="AC16" s="182">
        <f t="shared" si="12"/>
        <v>2.5</v>
      </c>
      <c r="AD16" s="176">
        <f t="shared" si="13"/>
        <v>5</v>
      </c>
      <c r="AE16" s="176">
        <f t="shared" si="14"/>
        <v>7.75</v>
      </c>
      <c r="AF16" s="176">
        <f t="shared" si="15"/>
        <v>12.5</v>
      </c>
      <c r="AG16" s="176">
        <f t="shared" si="16"/>
        <v>15.5</v>
      </c>
      <c r="AH16" s="176">
        <f t="shared" si="17"/>
        <v>38.75</v>
      </c>
      <c r="AI16" s="176">
        <f t="shared" si="18"/>
        <v>78.099999999999994</v>
      </c>
      <c r="AJ16" s="185" t="str">
        <f t="shared" si="19"/>
        <v>Dave Bell</v>
      </c>
      <c r="AK16" s="1">
        <f t="shared" si="20"/>
        <v>7</v>
      </c>
    </row>
    <row r="17" spans="2:37">
      <c r="B17" s="177" t="str">
        <f>$V7</f>
        <v>Andy White</v>
      </c>
      <c r="C17" s="177" t="str">
        <f>Picks!E17</f>
        <v>Italy</v>
      </c>
      <c r="D17" s="178">
        <f>Picks!F17</f>
        <v>6</v>
      </c>
      <c r="E17" s="178">
        <f>Picks!G17</f>
        <v>2.1</v>
      </c>
      <c r="F17" s="177">
        <f>IF(C17="","",INDEX(Odds!K:K,MATCH(C17,Odds!G:G,0)))</f>
        <v>1</v>
      </c>
      <c r="G17" s="177">
        <f>IF(C17="","",Picks!P17)</f>
        <v>0</v>
      </c>
      <c r="H17" s="178">
        <f t="shared" si="0"/>
        <v>0</v>
      </c>
      <c r="I17" s="184" t="str">
        <f t="shared" si="1"/>
        <v>David Dunn</v>
      </c>
      <c r="J17" s="176">
        <f>H47</f>
        <v>1.1499999999999999</v>
      </c>
      <c r="K17" s="176">
        <f>H48</f>
        <v>0</v>
      </c>
      <c r="L17" s="176">
        <f>H49</f>
        <v>0.36363636363636376</v>
      </c>
      <c r="M17" s="176">
        <f t="shared" si="2"/>
        <v>2.15</v>
      </c>
      <c r="N17" s="176">
        <f t="shared" si="3"/>
        <v>0</v>
      </c>
      <c r="O17" s="176">
        <f t="shared" si="4"/>
        <v>1.3636363636363638</v>
      </c>
      <c r="P17" s="176">
        <f t="shared" si="5"/>
        <v>0</v>
      </c>
      <c r="Q17" s="176">
        <f t="shared" si="6"/>
        <v>0</v>
      </c>
      <c r="R17" s="176">
        <f t="shared" si="7"/>
        <v>2.9318181818181817</v>
      </c>
      <c r="S17" s="176">
        <f t="shared" si="8"/>
        <v>0</v>
      </c>
      <c r="T17" s="176">
        <f t="shared" si="9"/>
        <v>-0.55454545454545467</v>
      </c>
      <c r="U17" s="145">
        <f>SUM(G47:G49)</f>
        <v>2</v>
      </c>
      <c r="V17" s="118" t="s">
        <v>347</v>
      </c>
      <c r="W17" s="145">
        <f>SUM(F47:F49)</f>
        <v>3</v>
      </c>
      <c r="X17" s="178">
        <f t="shared" si="10"/>
        <v>1.1000000000000001</v>
      </c>
      <c r="Y17" s="176">
        <f>X47</f>
        <v>1.1499999999999999</v>
      </c>
      <c r="Z17" s="176">
        <f>X48</f>
        <v>1.7999999999999998</v>
      </c>
      <c r="AA17" s="176">
        <f>X49</f>
        <v>0.36363636363636376</v>
      </c>
      <c r="AB17" s="176">
        <f t="shared" si="11"/>
        <v>2.15</v>
      </c>
      <c r="AC17" s="182">
        <f t="shared" si="12"/>
        <v>2.8</v>
      </c>
      <c r="AD17" s="176">
        <f t="shared" si="13"/>
        <v>1.3636363636363638</v>
      </c>
      <c r="AE17" s="176">
        <f t="shared" si="14"/>
        <v>6.02</v>
      </c>
      <c r="AF17" s="176">
        <f t="shared" si="15"/>
        <v>3.8181818181818183</v>
      </c>
      <c r="AG17" s="176">
        <f t="shared" si="16"/>
        <v>2.9318181818181817</v>
      </c>
      <c r="AH17" s="176">
        <f t="shared" si="17"/>
        <v>8.209090909090909</v>
      </c>
      <c r="AI17" s="176">
        <f t="shared" si="18"/>
        <v>20.292727272727269</v>
      </c>
      <c r="AJ17" s="185" t="str">
        <f t="shared" si="19"/>
        <v>David Dunn</v>
      </c>
      <c r="AK17" s="1">
        <f t="shared" si="20"/>
        <v>7</v>
      </c>
    </row>
    <row r="18" spans="2:37">
      <c r="B18" s="177"/>
      <c r="C18" s="177" t="str">
        <f>Picks!E18</f>
        <v>Spain</v>
      </c>
      <c r="D18" s="178">
        <f>Picks!F18</f>
        <v>7</v>
      </c>
      <c r="E18" s="178">
        <f>Picks!G18</f>
        <v>2.4</v>
      </c>
      <c r="F18" s="177">
        <f>IF(C18="","",INDEX(Odds!K:K,MATCH(C18,Odds!G:G,0)))</f>
        <v>1</v>
      </c>
      <c r="G18" s="177">
        <f>IF(C18="","",Picks!P18)</f>
        <v>1</v>
      </c>
      <c r="H18" s="178">
        <f t="shared" si="0"/>
        <v>1.4</v>
      </c>
      <c r="I18" s="184" t="str">
        <f t="shared" si="1"/>
        <v>Dot Bow</v>
      </c>
      <c r="J18" s="176">
        <f>H50</f>
        <v>0</v>
      </c>
      <c r="K18" s="176">
        <f>H51</f>
        <v>0.85000000000000009</v>
      </c>
      <c r="L18" s="176">
        <f>H52</f>
        <v>0</v>
      </c>
      <c r="M18" s="176">
        <f t="shared" si="2"/>
        <v>0</v>
      </c>
      <c r="N18" s="176">
        <f t="shared" si="3"/>
        <v>1.85</v>
      </c>
      <c r="O18" s="176">
        <f t="shared" si="4"/>
        <v>0</v>
      </c>
      <c r="P18" s="176">
        <f t="shared" si="5"/>
        <v>0</v>
      </c>
      <c r="Q18" s="176">
        <f t="shared" si="6"/>
        <v>0</v>
      </c>
      <c r="R18" s="176">
        <f t="shared" si="7"/>
        <v>0</v>
      </c>
      <c r="S18" s="176">
        <f t="shared" si="8"/>
        <v>0</v>
      </c>
      <c r="T18" s="176">
        <f t="shared" si="9"/>
        <v>-5.15</v>
      </c>
      <c r="U18" s="145">
        <f>SUM(G50:G52)</f>
        <v>1</v>
      </c>
      <c r="V18" s="115" t="s">
        <v>517</v>
      </c>
      <c r="W18" s="145">
        <f>SUM(F50:F52)</f>
        <v>3</v>
      </c>
      <c r="X18" s="178">
        <f t="shared" si="10"/>
        <v>1.4</v>
      </c>
      <c r="Y18" s="176">
        <f>X50</f>
        <v>3</v>
      </c>
      <c r="Z18" s="176">
        <f>X51</f>
        <v>0.85000000000000009</v>
      </c>
      <c r="AA18" s="176">
        <f>X52</f>
        <v>1.7000000000000002</v>
      </c>
      <c r="AB18" s="176">
        <f t="shared" si="11"/>
        <v>4</v>
      </c>
      <c r="AC18" s="182">
        <f t="shared" si="12"/>
        <v>1.85</v>
      </c>
      <c r="AD18" s="176">
        <f t="shared" si="13"/>
        <v>2.7</v>
      </c>
      <c r="AE18" s="176">
        <f t="shared" si="14"/>
        <v>7.4</v>
      </c>
      <c r="AF18" s="176">
        <f t="shared" si="15"/>
        <v>4.995000000000001</v>
      </c>
      <c r="AG18" s="176">
        <f t="shared" si="16"/>
        <v>10.8</v>
      </c>
      <c r="AH18" s="176">
        <f t="shared" si="17"/>
        <v>19.980000000000004</v>
      </c>
      <c r="AI18" s="176">
        <f t="shared" si="18"/>
        <v>44.725000000000009</v>
      </c>
      <c r="AJ18" s="185" t="str">
        <f t="shared" si="19"/>
        <v>Dot Bow</v>
      </c>
      <c r="AK18" s="1">
        <f t="shared" si="20"/>
        <v>7</v>
      </c>
    </row>
    <row r="19" spans="2:37" ht="13.15" thickBot="1">
      <c r="B19" s="179"/>
      <c r="C19" s="179" t="str">
        <f>Picks!E19</f>
        <v>Slovenia</v>
      </c>
      <c r="D19" s="180">
        <f>Picks!F19</f>
        <v>7</v>
      </c>
      <c r="E19" s="180">
        <f>Picks!G19</f>
        <v>2.6</v>
      </c>
      <c r="F19" s="179">
        <f>IF(C19="","",INDEX(Odds!K:K,MATCH(C19,Odds!G:G,0)))</f>
        <v>1</v>
      </c>
      <c r="G19" s="179">
        <f>IF(C19="","",Picks!P19)</f>
        <v>0</v>
      </c>
      <c r="H19" s="180">
        <f t="shared" si="0"/>
        <v>0</v>
      </c>
      <c r="I19" s="184" t="str">
        <f t="shared" si="1"/>
        <v>Frank Allen</v>
      </c>
      <c r="J19" s="176">
        <f>H53</f>
        <v>0</v>
      </c>
      <c r="K19" s="176">
        <f>H54</f>
        <v>0.72727272727272729</v>
      </c>
      <c r="L19" s="176">
        <f>H55</f>
        <v>1.1499999999999999</v>
      </c>
      <c r="M19" s="176">
        <f t="shared" si="2"/>
        <v>0</v>
      </c>
      <c r="N19" s="176">
        <f t="shared" si="3"/>
        <v>1.7272727272727273</v>
      </c>
      <c r="O19" s="176">
        <f t="shared" si="4"/>
        <v>2.15</v>
      </c>
      <c r="P19" s="176">
        <f t="shared" si="5"/>
        <v>0</v>
      </c>
      <c r="Q19" s="176">
        <f t="shared" si="6"/>
        <v>3.7136363636363638</v>
      </c>
      <c r="R19" s="176">
        <f t="shared" si="7"/>
        <v>0</v>
      </c>
      <c r="S19" s="176">
        <f t="shared" si="8"/>
        <v>0</v>
      </c>
      <c r="T19" s="176">
        <f t="shared" si="9"/>
        <v>0.59090909090909083</v>
      </c>
      <c r="U19" s="145">
        <f>SUM(G53:G55)</f>
        <v>2</v>
      </c>
      <c r="V19" s="118" t="s">
        <v>482</v>
      </c>
      <c r="W19" s="145">
        <f>SUM(F53:F55)</f>
        <v>3</v>
      </c>
      <c r="X19" s="178">
        <f t="shared" si="10"/>
        <v>1.6</v>
      </c>
      <c r="Y19" s="176">
        <f>X53</f>
        <v>2.4</v>
      </c>
      <c r="Z19" s="176">
        <f>X54</f>
        <v>0.72727272727272729</v>
      </c>
      <c r="AA19" s="176">
        <f>X55</f>
        <v>1.1499999999999999</v>
      </c>
      <c r="AB19" s="176">
        <f t="shared" si="11"/>
        <v>3.4</v>
      </c>
      <c r="AC19" s="182">
        <f t="shared" si="12"/>
        <v>1.7272727272727273</v>
      </c>
      <c r="AD19" s="176">
        <f t="shared" si="13"/>
        <v>2.15</v>
      </c>
      <c r="AE19" s="176">
        <f t="shared" si="14"/>
        <v>5.872727272727273</v>
      </c>
      <c r="AF19" s="176">
        <f t="shared" si="15"/>
        <v>3.7136363636363638</v>
      </c>
      <c r="AG19" s="176">
        <f t="shared" si="16"/>
        <v>7.3099999999999987</v>
      </c>
      <c r="AH19" s="176">
        <f t="shared" si="17"/>
        <v>12.626363636363637</v>
      </c>
      <c r="AI19" s="176">
        <f t="shared" si="18"/>
        <v>29.799999999999997</v>
      </c>
      <c r="AJ19" s="185" t="str">
        <f t="shared" si="19"/>
        <v>Frank Allen</v>
      </c>
      <c r="AK19" s="1">
        <f t="shared" si="20"/>
        <v>7</v>
      </c>
    </row>
    <row r="20" spans="2:37">
      <c r="B20" s="178" t="str">
        <f>$V8</f>
        <v>Barry Birchall</v>
      </c>
      <c r="C20" s="177" t="str">
        <f>Picks!E20</f>
        <v>Plymouth</v>
      </c>
      <c r="D20" s="178">
        <f>Picks!F20</f>
        <v>7</v>
      </c>
      <c r="E20" s="178">
        <f>Picks!G20</f>
        <v>1.6153846153846154</v>
      </c>
      <c r="F20" s="177">
        <f>IF(C20="","",INDEX(Odds!K:K,MATCH(C20,Odds!G:G,0)))</f>
        <v>1</v>
      </c>
      <c r="G20" s="177">
        <f>IF(C20="","",Picks!P20)</f>
        <v>0</v>
      </c>
      <c r="H20" s="178">
        <f t="shared" si="0"/>
        <v>0</v>
      </c>
      <c r="I20" s="184" t="str">
        <f t="shared" si="1"/>
        <v>Gareth Powell</v>
      </c>
      <c r="J20" s="176">
        <f>H56</f>
        <v>0</v>
      </c>
      <c r="K20" s="176">
        <f>H57</f>
        <v>0</v>
      </c>
      <c r="L20" s="176">
        <f>H58</f>
        <v>0</v>
      </c>
      <c r="M20" s="176">
        <f t="shared" si="2"/>
        <v>0</v>
      </c>
      <c r="N20" s="176">
        <f t="shared" si="3"/>
        <v>0</v>
      </c>
      <c r="O20" s="176">
        <f t="shared" si="4"/>
        <v>0</v>
      </c>
      <c r="P20" s="176">
        <f t="shared" si="5"/>
        <v>0</v>
      </c>
      <c r="Q20" s="176">
        <f t="shared" si="6"/>
        <v>0</v>
      </c>
      <c r="R20" s="176">
        <f t="shared" si="7"/>
        <v>0</v>
      </c>
      <c r="S20" s="176">
        <f t="shared" si="8"/>
        <v>0</v>
      </c>
      <c r="T20" s="176">
        <f t="shared" si="9"/>
        <v>-7</v>
      </c>
      <c r="U20" s="145">
        <f>SUM(G56:G58)</f>
        <v>0</v>
      </c>
      <c r="V20" s="115" t="s">
        <v>281</v>
      </c>
      <c r="W20" s="145">
        <f>SUM(F56:F58)</f>
        <v>3</v>
      </c>
      <c r="X20" s="178">
        <f t="shared" si="10"/>
        <v>0.61538461538461542</v>
      </c>
      <c r="Y20" s="176">
        <f>X56</f>
        <v>4</v>
      </c>
      <c r="Z20" s="176">
        <f>X57</f>
        <v>1.5</v>
      </c>
      <c r="AA20" s="176">
        <f>X58</f>
        <v>1.5</v>
      </c>
      <c r="AB20" s="176">
        <f t="shared" si="11"/>
        <v>5</v>
      </c>
      <c r="AC20" s="182">
        <f t="shared" si="12"/>
        <v>2.5</v>
      </c>
      <c r="AD20" s="176">
        <f t="shared" si="13"/>
        <v>2.5</v>
      </c>
      <c r="AE20" s="176">
        <f t="shared" si="14"/>
        <v>12.5</v>
      </c>
      <c r="AF20" s="176">
        <f t="shared" si="15"/>
        <v>6.25</v>
      </c>
      <c r="AG20" s="176">
        <f t="shared" si="16"/>
        <v>12.5</v>
      </c>
      <c r="AH20" s="176">
        <f t="shared" si="17"/>
        <v>31.25</v>
      </c>
      <c r="AI20" s="176">
        <f t="shared" si="18"/>
        <v>65.5</v>
      </c>
      <c r="AJ20" s="185" t="str">
        <f t="shared" si="19"/>
        <v>Gareth Powell</v>
      </c>
      <c r="AK20" s="1">
        <f t="shared" si="20"/>
        <v>7</v>
      </c>
    </row>
    <row r="21" spans="2:37">
      <c r="B21" s="177"/>
      <c r="C21" s="177" t="str">
        <f>Picks!E21</f>
        <v>Stockport</v>
      </c>
      <c r="D21" s="178">
        <f>Picks!F21</f>
        <v>7</v>
      </c>
      <c r="E21" s="178">
        <f>Picks!G21</f>
        <v>1.3636363636363638</v>
      </c>
      <c r="F21" s="177">
        <f>IF(C21="","",INDEX(Odds!K:K,MATCH(C21,Odds!G:G,0)))</f>
        <v>1</v>
      </c>
      <c r="G21" s="177">
        <f>IF(C21="","",Picks!P21)</f>
        <v>1</v>
      </c>
      <c r="H21" s="178">
        <f t="shared" si="0"/>
        <v>0.36363636363636376</v>
      </c>
      <c r="I21" s="184" t="str">
        <f t="shared" si="1"/>
        <v>Gerard Ventom</v>
      </c>
      <c r="J21" s="176">
        <f>H59</f>
        <v>2.4</v>
      </c>
      <c r="K21" s="176">
        <f>H60</f>
        <v>2</v>
      </c>
      <c r="L21" s="176">
        <f>H61</f>
        <v>0</v>
      </c>
      <c r="M21" s="176">
        <f t="shared" si="2"/>
        <v>3.4</v>
      </c>
      <c r="N21" s="176">
        <f t="shared" si="3"/>
        <v>3</v>
      </c>
      <c r="O21" s="176">
        <f t="shared" si="4"/>
        <v>0</v>
      </c>
      <c r="P21" s="176">
        <f t="shared" si="5"/>
        <v>10.199999999999999</v>
      </c>
      <c r="Q21" s="176">
        <f t="shared" si="6"/>
        <v>0</v>
      </c>
      <c r="R21" s="176">
        <f t="shared" si="7"/>
        <v>0</v>
      </c>
      <c r="S21" s="176">
        <f t="shared" si="8"/>
        <v>0</v>
      </c>
      <c r="T21" s="176">
        <f t="shared" si="9"/>
        <v>9.6000000000000014</v>
      </c>
      <c r="U21" s="145">
        <f>SUM(G59:G61)</f>
        <v>2</v>
      </c>
      <c r="V21" s="115" t="s">
        <v>348</v>
      </c>
      <c r="W21" s="145">
        <f>SUM(F59:F61)</f>
        <v>3</v>
      </c>
      <c r="X21" s="178">
        <f t="shared" si="10"/>
        <v>0.36363636363636376</v>
      </c>
      <c r="Y21" s="176">
        <f>X59</f>
        <v>2.4</v>
      </c>
      <c r="Z21" s="176">
        <f>X60</f>
        <v>2</v>
      </c>
      <c r="AA21" s="176">
        <f>X61</f>
        <v>1.5</v>
      </c>
      <c r="AB21" s="176">
        <f t="shared" si="11"/>
        <v>3.4</v>
      </c>
      <c r="AC21" s="182">
        <f t="shared" si="12"/>
        <v>3</v>
      </c>
      <c r="AD21" s="176">
        <f t="shared" si="13"/>
        <v>2.5</v>
      </c>
      <c r="AE21" s="176">
        <f t="shared" si="14"/>
        <v>10.199999999999999</v>
      </c>
      <c r="AF21" s="176">
        <f t="shared" si="15"/>
        <v>7.5</v>
      </c>
      <c r="AG21" s="176">
        <f t="shared" si="16"/>
        <v>8.5</v>
      </c>
      <c r="AH21" s="176">
        <f t="shared" si="17"/>
        <v>25.5</v>
      </c>
      <c r="AI21" s="176">
        <f t="shared" si="18"/>
        <v>53.6</v>
      </c>
      <c r="AJ21" s="185" t="str">
        <f t="shared" si="19"/>
        <v>Gerard Ventom</v>
      </c>
      <c r="AK21" s="1">
        <f t="shared" si="20"/>
        <v>7</v>
      </c>
    </row>
    <row r="22" spans="2:37" ht="13.15" thickBot="1">
      <c r="B22" s="179"/>
      <c r="C22" s="179" t="str">
        <f>Picks!E22</f>
        <v>Swindon</v>
      </c>
      <c r="D22" s="180">
        <f>Picks!F22</f>
        <v>7</v>
      </c>
      <c r="E22" s="180">
        <f>Picks!G22</f>
        <v>2.0499999999999998</v>
      </c>
      <c r="F22" s="179">
        <f>IF(C22="","",INDEX(Odds!K:K,MATCH(C22,Odds!G:G,0)))</f>
        <v>1</v>
      </c>
      <c r="G22" s="179">
        <f>IF(C22="","",Picks!P22)</f>
        <v>0</v>
      </c>
      <c r="H22" s="180">
        <f t="shared" si="0"/>
        <v>0</v>
      </c>
      <c r="I22" s="184" t="str">
        <f t="shared" si="1"/>
        <v>Graham Miller</v>
      </c>
      <c r="J22" s="176">
        <f>H62</f>
        <v>0</v>
      </c>
      <c r="K22" s="176">
        <f>H63</f>
        <v>0.5</v>
      </c>
      <c r="L22" s="176">
        <f>H64</f>
        <v>0</v>
      </c>
      <c r="M22" s="176">
        <f t="shared" si="2"/>
        <v>0</v>
      </c>
      <c r="N22" s="176">
        <f t="shared" si="3"/>
        <v>1.5</v>
      </c>
      <c r="O22" s="176">
        <f t="shared" si="4"/>
        <v>0</v>
      </c>
      <c r="P22" s="176">
        <f t="shared" si="5"/>
        <v>0</v>
      </c>
      <c r="Q22" s="176">
        <f t="shared" si="6"/>
        <v>0</v>
      </c>
      <c r="R22" s="176">
        <f t="shared" si="7"/>
        <v>0</v>
      </c>
      <c r="S22" s="176">
        <f t="shared" si="8"/>
        <v>0</v>
      </c>
      <c r="T22" s="176">
        <f t="shared" si="9"/>
        <v>-5.5</v>
      </c>
      <c r="U22" s="145">
        <f>SUM(G62:G64)</f>
        <v>1</v>
      </c>
      <c r="V22" s="115" t="s">
        <v>271</v>
      </c>
      <c r="W22" s="145">
        <f>SUM(F62:F64)</f>
        <v>3</v>
      </c>
      <c r="X22" s="178">
        <f t="shared" si="10"/>
        <v>1.0499999999999998</v>
      </c>
      <c r="Y22" s="176">
        <f>X62</f>
        <v>1.1000000000000001</v>
      </c>
      <c r="Z22" s="176">
        <f>X63</f>
        <v>0.5</v>
      </c>
      <c r="AA22" s="176">
        <f>X64</f>
        <v>1.2000000000000002</v>
      </c>
      <c r="AB22" s="176">
        <f t="shared" si="11"/>
        <v>2.1</v>
      </c>
      <c r="AC22" s="182">
        <f t="shared" si="12"/>
        <v>1.5</v>
      </c>
      <c r="AD22" s="176">
        <f t="shared" si="13"/>
        <v>2.2000000000000002</v>
      </c>
      <c r="AE22" s="176">
        <f t="shared" si="14"/>
        <v>3.1500000000000004</v>
      </c>
      <c r="AF22" s="176">
        <f t="shared" si="15"/>
        <v>3.3000000000000003</v>
      </c>
      <c r="AG22" s="176">
        <f t="shared" si="16"/>
        <v>4.620000000000001</v>
      </c>
      <c r="AH22" s="176">
        <f t="shared" si="17"/>
        <v>6.9300000000000015</v>
      </c>
      <c r="AI22" s="176">
        <f t="shared" si="18"/>
        <v>16.800000000000004</v>
      </c>
      <c r="AJ22" s="185" t="str">
        <f t="shared" si="19"/>
        <v>Graham Miller</v>
      </c>
      <c r="AK22" s="1">
        <f t="shared" si="20"/>
        <v>7</v>
      </c>
    </row>
    <row r="23" spans="2:37">
      <c r="B23" s="178" t="str">
        <f>$V9</f>
        <v>Ben Rosser</v>
      </c>
      <c r="C23" s="177" t="str">
        <f>Picks!E23</f>
        <v>Belgium</v>
      </c>
      <c r="D23" s="178">
        <f>Picks!F23</f>
        <v>6</v>
      </c>
      <c r="E23" s="178">
        <f>Picks!G23</f>
        <v>3.1</v>
      </c>
      <c r="F23" s="177">
        <f>IF(C23="","",INDEX(Odds!K:K,MATCH(C23,Odds!G:G,0)))</f>
        <v>1</v>
      </c>
      <c r="G23" s="177">
        <f>IF(C23="","",Picks!P23)</f>
        <v>1</v>
      </c>
      <c r="H23" s="178">
        <f t="shared" si="0"/>
        <v>2.1</v>
      </c>
      <c r="I23" s="184" t="str">
        <f t="shared" si="1"/>
        <v>Howard Bradley</v>
      </c>
      <c r="J23" s="176">
        <f>H65</f>
        <v>0.25</v>
      </c>
      <c r="K23" s="176">
        <f>H66</f>
        <v>0.5</v>
      </c>
      <c r="L23" s="176">
        <f>H67</f>
        <v>0</v>
      </c>
      <c r="M23" s="176">
        <f t="shared" si="2"/>
        <v>1.25</v>
      </c>
      <c r="N23" s="176">
        <f t="shared" si="3"/>
        <v>1.5</v>
      </c>
      <c r="O23" s="176">
        <f t="shared" si="4"/>
        <v>0</v>
      </c>
      <c r="P23" s="176">
        <f t="shared" si="5"/>
        <v>1.875</v>
      </c>
      <c r="Q23" s="176">
        <f t="shared" si="6"/>
        <v>0</v>
      </c>
      <c r="R23" s="176">
        <f t="shared" si="7"/>
        <v>0</v>
      </c>
      <c r="S23" s="176">
        <f t="shared" si="8"/>
        <v>0</v>
      </c>
      <c r="T23" s="176">
        <f t="shared" si="9"/>
        <v>-2.375</v>
      </c>
      <c r="U23" s="145">
        <f>SUM(G65:G67)</f>
        <v>2</v>
      </c>
      <c r="V23" s="118" t="s">
        <v>285</v>
      </c>
      <c r="W23" s="145">
        <f>SUM(F65:F67)</f>
        <v>3</v>
      </c>
      <c r="X23" s="178">
        <f t="shared" si="10"/>
        <v>2.1</v>
      </c>
      <c r="Y23" s="176">
        <f>X65</f>
        <v>0.25</v>
      </c>
      <c r="Z23" s="176">
        <f>X66</f>
        <v>0.5</v>
      </c>
      <c r="AA23" s="176">
        <f>X67</f>
        <v>0.36363636363636376</v>
      </c>
      <c r="AB23" s="176">
        <f t="shared" si="11"/>
        <v>1.25</v>
      </c>
      <c r="AC23" s="182">
        <f t="shared" si="12"/>
        <v>1.5</v>
      </c>
      <c r="AD23" s="176">
        <f t="shared" si="13"/>
        <v>1.3636363636363638</v>
      </c>
      <c r="AE23" s="176">
        <f t="shared" si="14"/>
        <v>1.875</v>
      </c>
      <c r="AF23" s="176">
        <f t="shared" si="15"/>
        <v>2.0454545454545459</v>
      </c>
      <c r="AG23" s="176">
        <f t="shared" si="16"/>
        <v>1.7045454545454546</v>
      </c>
      <c r="AH23" s="176">
        <f t="shared" si="17"/>
        <v>2.5568181818181821</v>
      </c>
      <c r="AI23" s="176">
        <f t="shared" si="18"/>
        <v>5.2954545454545467</v>
      </c>
      <c r="AJ23" s="185" t="str">
        <f t="shared" si="19"/>
        <v>Howard Bradley</v>
      </c>
      <c r="AK23" s="1">
        <f t="shared" si="20"/>
        <v>7</v>
      </c>
    </row>
    <row r="24" spans="2:37">
      <c r="B24" s="177"/>
      <c r="C24" s="177" t="str">
        <f>Picks!E24</f>
        <v>Spain</v>
      </c>
      <c r="D24" s="178">
        <f>Picks!F24</f>
        <v>7</v>
      </c>
      <c r="E24" s="178">
        <f>Picks!G24</f>
        <v>2.4</v>
      </c>
      <c r="F24" s="177">
        <f>IF(C24="","",INDEX(Odds!K:K,MATCH(C24,Odds!G:G,0)))</f>
        <v>1</v>
      </c>
      <c r="G24" s="177">
        <f>IF(C24="","",Picks!P24)</f>
        <v>1</v>
      </c>
      <c r="H24" s="178">
        <f t="shared" si="0"/>
        <v>1.4</v>
      </c>
      <c r="I24" s="184" t="str">
        <f t="shared" si="1"/>
        <v>Jack Walsh</v>
      </c>
      <c r="J24" s="176">
        <f>H68</f>
        <v>1.2000000000000002</v>
      </c>
      <c r="K24" s="176">
        <f>H69</f>
        <v>0</v>
      </c>
      <c r="L24" s="176">
        <f>H70</f>
        <v>0</v>
      </c>
      <c r="M24" s="176">
        <f t="shared" si="2"/>
        <v>2.2000000000000002</v>
      </c>
      <c r="N24" s="176">
        <f t="shared" si="3"/>
        <v>0</v>
      </c>
      <c r="O24" s="176">
        <f t="shared" si="4"/>
        <v>0</v>
      </c>
      <c r="P24" s="176">
        <f t="shared" si="5"/>
        <v>0</v>
      </c>
      <c r="Q24" s="176">
        <f t="shared" si="6"/>
        <v>0</v>
      </c>
      <c r="R24" s="176">
        <f t="shared" si="7"/>
        <v>0</v>
      </c>
      <c r="S24" s="176">
        <f t="shared" si="8"/>
        <v>0</v>
      </c>
      <c r="T24" s="176">
        <f t="shared" si="9"/>
        <v>-4.8</v>
      </c>
      <c r="U24" s="145">
        <f>SUM(G68:G70)</f>
        <v>1</v>
      </c>
      <c r="V24" s="118" t="s">
        <v>294</v>
      </c>
      <c r="W24" s="145">
        <f>SUM(F68:F70)</f>
        <v>3</v>
      </c>
      <c r="X24" s="178">
        <f t="shared" si="10"/>
        <v>1.4</v>
      </c>
      <c r="Y24" s="176">
        <f>X68</f>
        <v>1.2000000000000002</v>
      </c>
      <c r="Z24" s="176">
        <f>X69</f>
        <v>0.61538461538461542</v>
      </c>
      <c r="AA24" s="176">
        <f>X70</f>
        <v>1.625</v>
      </c>
      <c r="AB24" s="176">
        <f t="shared" si="11"/>
        <v>2.2000000000000002</v>
      </c>
      <c r="AC24" s="182">
        <f t="shared" si="12"/>
        <v>1.6153846153846154</v>
      </c>
      <c r="AD24" s="176">
        <f t="shared" si="13"/>
        <v>2.625</v>
      </c>
      <c r="AE24" s="176">
        <f t="shared" si="14"/>
        <v>3.5538461538461541</v>
      </c>
      <c r="AF24" s="176">
        <f t="shared" si="15"/>
        <v>4.240384615384615</v>
      </c>
      <c r="AG24" s="176">
        <f t="shared" si="16"/>
        <v>5.7750000000000004</v>
      </c>
      <c r="AH24" s="176">
        <f t="shared" si="17"/>
        <v>9.328846153846154</v>
      </c>
      <c r="AI24" s="176">
        <f t="shared" si="18"/>
        <v>22.338461538461541</v>
      </c>
      <c r="AJ24" s="185" t="str">
        <f t="shared" si="19"/>
        <v>Jack Walsh</v>
      </c>
      <c r="AK24" s="1">
        <f t="shared" si="20"/>
        <v>7</v>
      </c>
    </row>
    <row r="25" spans="2:37" ht="13.15" thickBot="1">
      <c r="B25" s="179"/>
      <c r="C25" s="179" t="str">
        <f>Picks!E25</f>
        <v>Slovenia</v>
      </c>
      <c r="D25" s="180">
        <f>Picks!F25</f>
        <v>7</v>
      </c>
      <c r="E25" s="180">
        <f>Picks!G25</f>
        <v>2.6</v>
      </c>
      <c r="F25" s="179">
        <f>IF(C25="","",INDEX(Odds!K:K,MATCH(C25,Odds!G:G,0)))</f>
        <v>1</v>
      </c>
      <c r="G25" s="179">
        <f>IF(C25="","",Picks!P25)</f>
        <v>0</v>
      </c>
      <c r="H25" s="180">
        <f t="shared" si="0"/>
        <v>0</v>
      </c>
      <c r="I25" s="184" t="str">
        <f t="shared" si="1"/>
        <v>Julie Dodd</v>
      </c>
      <c r="J25" s="176">
        <f>H71</f>
        <v>0</v>
      </c>
      <c r="K25" s="176">
        <f>H72</f>
        <v>0</v>
      </c>
      <c r="L25" s="176">
        <f>H73</f>
        <v>0.36363636363636376</v>
      </c>
      <c r="M25" s="176">
        <f t="shared" si="2"/>
        <v>0</v>
      </c>
      <c r="N25" s="176">
        <f t="shared" si="3"/>
        <v>0</v>
      </c>
      <c r="O25" s="176">
        <f t="shared" si="4"/>
        <v>1.3636363636363638</v>
      </c>
      <c r="P25" s="176">
        <f t="shared" si="5"/>
        <v>0</v>
      </c>
      <c r="Q25" s="176">
        <f t="shared" si="6"/>
        <v>0</v>
      </c>
      <c r="R25" s="176">
        <f t="shared" si="7"/>
        <v>0</v>
      </c>
      <c r="S25" s="176">
        <f t="shared" si="8"/>
        <v>0</v>
      </c>
      <c r="T25" s="176">
        <f t="shared" si="9"/>
        <v>-5.6363636363636367</v>
      </c>
      <c r="U25" s="145">
        <f>SUM(G71:G73)</f>
        <v>1</v>
      </c>
      <c r="V25" s="115" t="s">
        <v>488</v>
      </c>
      <c r="W25" s="145">
        <f>SUM(F71:F73)</f>
        <v>3</v>
      </c>
      <c r="X25" s="178">
        <f t="shared" si="10"/>
        <v>1.6</v>
      </c>
      <c r="Y25" s="176">
        <f>X71</f>
        <v>0.85000000000000009</v>
      </c>
      <c r="Z25" s="176">
        <f>X72</f>
        <v>1.0499999999999998</v>
      </c>
      <c r="AA25" s="176">
        <f>X73</f>
        <v>0.36363636363636376</v>
      </c>
      <c r="AB25" s="176">
        <f t="shared" si="11"/>
        <v>1.85</v>
      </c>
      <c r="AC25" s="182">
        <f t="shared" si="12"/>
        <v>2.0499999999999998</v>
      </c>
      <c r="AD25" s="176">
        <f t="shared" si="13"/>
        <v>1.3636363636363638</v>
      </c>
      <c r="AE25" s="176">
        <f t="shared" si="14"/>
        <v>3.7924999999999995</v>
      </c>
      <c r="AF25" s="176">
        <f t="shared" si="15"/>
        <v>2.7954545454545454</v>
      </c>
      <c r="AG25" s="176">
        <f t="shared" si="16"/>
        <v>2.5227272727272734</v>
      </c>
      <c r="AH25" s="176">
        <f t="shared" si="17"/>
        <v>5.1715909090909093</v>
      </c>
      <c r="AI25" s="176">
        <f t="shared" si="18"/>
        <v>12.545909090909092</v>
      </c>
      <c r="AJ25" s="185" t="str">
        <f t="shared" si="19"/>
        <v>Julie Dodd</v>
      </c>
      <c r="AK25" s="1">
        <f t="shared" si="20"/>
        <v>7</v>
      </c>
    </row>
    <row r="26" spans="2:37">
      <c r="B26" s="178" t="str">
        <f>$V10</f>
        <v>Bob Bailey</v>
      </c>
      <c r="C26" s="177" t="str">
        <f>Picks!E26</f>
        <v>Plymouth</v>
      </c>
      <c r="D26" s="178">
        <f>Picks!F26</f>
        <v>7</v>
      </c>
      <c r="E26" s="178">
        <f>Picks!G26</f>
        <v>1.6153846153846154</v>
      </c>
      <c r="F26" s="177">
        <f>IF(C26="","",INDEX(Odds!K:K,MATCH(C26,Odds!G:G,0)))</f>
        <v>1</v>
      </c>
      <c r="G26" s="177">
        <f>IF(C26="","",Picks!P26)</f>
        <v>0</v>
      </c>
      <c r="H26" s="178">
        <f t="shared" si="0"/>
        <v>0</v>
      </c>
      <c r="I26" s="184" t="str">
        <f t="shared" si="1"/>
        <v>Katy Savory</v>
      </c>
      <c r="J26" s="176">
        <f>H74</f>
        <v>0</v>
      </c>
      <c r="K26" s="176">
        <f>H75</f>
        <v>0</v>
      </c>
      <c r="L26" s="176">
        <f>H76</f>
        <v>0</v>
      </c>
      <c r="M26" s="176">
        <f t="shared" si="2"/>
        <v>0</v>
      </c>
      <c r="N26" s="176">
        <f t="shared" si="3"/>
        <v>0</v>
      </c>
      <c r="O26" s="176">
        <f t="shared" si="4"/>
        <v>0</v>
      </c>
      <c r="P26" s="176">
        <f t="shared" si="5"/>
        <v>0</v>
      </c>
      <c r="Q26" s="176">
        <f t="shared" si="6"/>
        <v>0</v>
      </c>
      <c r="R26" s="176">
        <f t="shared" si="7"/>
        <v>0</v>
      </c>
      <c r="S26" s="176">
        <f t="shared" si="8"/>
        <v>0</v>
      </c>
      <c r="T26" s="176">
        <f t="shared" si="9"/>
        <v>-7</v>
      </c>
      <c r="U26" s="145">
        <f>SUM(G74:G76)</f>
        <v>0</v>
      </c>
      <c r="V26" s="115" t="s">
        <v>518</v>
      </c>
      <c r="W26" s="145">
        <f>SUM(F74:F76)</f>
        <v>3</v>
      </c>
      <c r="X26" s="178">
        <f t="shared" si="10"/>
        <v>0.61538461538461542</v>
      </c>
      <c r="Y26" s="176">
        <f>X74</f>
        <v>1.7000000000000002</v>
      </c>
      <c r="Z26" s="176">
        <f>X75</f>
        <v>1.2000000000000002</v>
      </c>
      <c r="AA26" s="176">
        <f>X76</f>
        <v>1.5</v>
      </c>
      <c r="AB26" s="176">
        <f t="shared" si="11"/>
        <v>2.7</v>
      </c>
      <c r="AC26" s="182">
        <f t="shared" si="12"/>
        <v>2.2000000000000002</v>
      </c>
      <c r="AD26" s="176">
        <f t="shared" si="13"/>
        <v>2.5</v>
      </c>
      <c r="AE26" s="176">
        <f t="shared" si="14"/>
        <v>5.9400000000000013</v>
      </c>
      <c r="AF26" s="176">
        <f t="shared" si="15"/>
        <v>5.5</v>
      </c>
      <c r="AG26" s="176">
        <f t="shared" si="16"/>
        <v>6.75</v>
      </c>
      <c r="AH26" s="176">
        <f t="shared" si="17"/>
        <v>14.850000000000003</v>
      </c>
      <c r="AI26" s="176">
        <f t="shared" si="18"/>
        <v>33.440000000000005</v>
      </c>
      <c r="AJ26" s="185" t="str">
        <f t="shared" si="19"/>
        <v>Katy Savory</v>
      </c>
      <c r="AK26" s="1">
        <f t="shared" si="20"/>
        <v>7</v>
      </c>
    </row>
    <row r="27" spans="2:37">
      <c r="B27" s="177"/>
      <c r="C27" s="177" t="str">
        <f>Picks!E27</f>
        <v>Fleetwood</v>
      </c>
      <c r="D27" s="178">
        <f>Picks!F27</f>
        <v>7</v>
      </c>
      <c r="E27" s="178">
        <f>Picks!G27</f>
        <v>1.85</v>
      </c>
      <c r="F27" s="177">
        <f>IF(C27="","",INDEX(Odds!K:K,MATCH(C27,Odds!G:G,0)))</f>
        <v>1</v>
      </c>
      <c r="G27" s="177">
        <f>IF(C27="","",Picks!P27)</f>
        <v>0</v>
      </c>
      <c r="H27" s="178">
        <f t="shared" si="0"/>
        <v>0</v>
      </c>
      <c r="I27" s="184" t="str">
        <f t="shared" si="1"/>
        <v>Kevin Carter</v>
      </c>
      <c r="J27" s="176">
        <f>H77</f>
        <v>0</v>
      </c>
      <c r="K27" s="176">
        <f>H78</f>
        <v>0.64999999999999991</v>
      </c>
      <c r="L27" s="176">
        <f>H79</f>
        <v>0</v>
      </c>
      <c r="M27" s="176">
        <f t="shared" si="2"/>
        <v>0</v>
      </c>
      <c r="N27" s="176">
        <f t="shared" si="3"/>
        <v>1.65</v>
      </c>
      <c r="O27" s="176">
        <f t="shared" si="4"/>
        <v>0</v>
      </c>
      <c r="P27" s="176">
        <f t="shared" si="5"/>
        <v>0</v>
      </c>
      <c r="Q27" s="176">
        <f t="shared" si="6"/>
        <v>0</v>
      </c>
      <c r="R27" s="176">
        <f t="shared" si="7"/>
        <v>0</v>
      </c>
      <c r="S27" s="176">
        <f t="shared" si="8"/>
        <v>0</v>
      </c>
      <c r="T27" s="176">
        <f t="shared" si="9"/>
        <v>-5.35</v>
      </c>
      <c r="U27" s="145">
        <f>SUM(G77:G79)</f>
        <v>1</v>
      </c>
      <c r="V27" s="118" t="s">
        <v>286</v>
      </c>
      <c r="W27" s="145">
        <f>SUM(F77:F79)</f>
        <v>3</v>
      </c>
      <c r="X27" s="178">
        <f t="shared" si="10"/>
        <v>0.85000000000000009</v>
      </c>
      <c r="Y27" s="176">
        <f>X77</f>
        <v>0.61538461538461542</v>
      </c>
      <c r="Z27" s="176">
        <f>X78</f>
        <v>0.64999999999999991</v>
      </c>
      <c r="AA27" s="176">
        <f>X79</f>
        <v>0.75</v>
      </c>
      <c r="AB27" s="176">
        <f t="shared" si="11"/>
        <v>1.6153846153846154</v>
      </c>
      <c r="AC27" s="182">
        <f t="shared" si="12"/>
        <v>1.65</v>
      </c>
      <c r="AD27" s="176">
        <f t="shared" si="13"/>
        <v>1.75</v>
      </c>
      <c r="AE27" s="176">
        <f t="shared" si="14"/>
        <v>2.6653846153846152</v>
      </c>
      <c r="AF27" s="176">
        <f t="shared" si="15"/>
        <v>2.8874999999999997</v>
      </c>
      <c r="AG27" s="176">
        <f t="shared" si="16"/>
        <v>2.8269230769230771</v>
      </c>
      <c r="AH27" s="176">
        <f t="shared" si="17"/>
        <v>4.664423076923077</v>
      </c>
      <c r="AI27" s="176">
        <f t="shared" si="18"/>
        <v>11.059615384615384</v>
      </c>
      <c r="AJ27" s="185" t="str">
        <f t="shared" ref="AJ27:AJ32" si="21">$V27</f>
        <v>Kevin Carter</v>
      </c>
      <c r="AK27" s="1">
        <f t="shared" ref="AK27:AK32" si="22">IF(W27=3,7,IF(W27=2,3,1))</f>
        <v>7</v>
      </c>
    </row>
    <row r="28" spans="2:37" ht="13.15" thickBot="1">
      <c r="B28" s="179"/>
      <c r="C28" s="179" t="str">
        <f>Picks!E28</f>
        <v>Spain</v>
      </c>
      <c r="D28" s="180">
        <f>Picks!F28</f>
        <v>7</v>
      </c>
      <c r="E28" s="180">
        <f>Picks!G28</f>
        <v>2.4</v>
      </c>
      <c r="F28" s="179">
        <f>IF(C28="","",INDEX(Odds!K:K,MATCH(C28,Odds!G:G,0)))</f>
        <v>1</v>
      </c>
      <c r="G28" s="179">
        <f>IF(C28="","",Picks!P28)</f>
        <v>1</v>
      </c>
      <c r="H28" s="180">
        <f t="shared" si="0"/>
        <v>1.4</v>
      </c>
      <c r="I28" s="184" t="str">
        <f t="shared" si="1"/>
        <v>Lennie Bow</v>
      </c>
      <c r="J28" s="176">
        <f>H80</f>
        <v>0</v>
      </c>
      <c r="K28" s="176">
        <f>H81</f>
        <v>0</v>
      </c>
      <c r="L28" s="176">
        <f>H82</f>
        <v>0</v>
      </c>
      <c r="M28" s="176">
        <f t="shared" si="2"/>
        <v>0</v>
      </c>
      <c r="N28" s="176">
        <f t="shared" si="3"/>
        <v>0</v>
      </c>
      <c r="O28" s="176">
        <f t="shared" si="4"/>
        <v>0</v>
      </c>
      <c r="P28" s="176">
        <f t="shared" si="5"/>
        <v>0</v>
      </c>
      <c r="Q28" s="176">
        <f t="shared" si="6"/>
        <v>0</v>
      </c>
      <c r="R28" s="176">
        <f t="shared" si="7"/>
        <v>0</v>
      </c>
      <c r="S28" s="176">
        <f t="shared" si="8"/>
        <v>0</v>
      </c>
      <c r="T28" s="176">
        <f t="shared" si="9"/>
        <v>-7</v>
      </c>
      <c r="U28" s="145">
        <f>SUM(G80:G82)</f>
        <v>0</v>
      </c>
      <c r="V28" s="115" t="s">
        <v>276</v>
      </c>
      <c r="W28" s="145">
        <f>SUM(F80:F82)</f>
        <v>3</v>
      </c>
      <c r="X28" s="178">
        <f t="shared" si="10"/>
        <v>1.4</v>
      </c>
      <c r="Y28" s="176">
        <f>X80</f>
        <v>0.85000000000000009</v>
      </c>
      <c r="Z28" s="176">
        <f>X81</f>
        <v>0.61538461538461542</v>
      </c>
      <c r="AA28" s="176">
        <f>X82</f>
        <v>0.75</v>
      </c>
      <c r="AB28" s="176">
        <f t="shared" si="11"/>
        <v>1.85</v>
      </c>
      <c r="AC28" s="182">
        <f t="shared" si="12"/>
        <v>1.6153846153846154</v>
      </c>
      <c r="AD28" s="176">
        <f t="shared" si="13"/>
        <v>1.75</v>
      </c>
      <c r="AE28" s="176">
        <f t="shared" si="14"/>
        <v>2.9884615384615385</v>
      </c>
      <c r="AF28" s="176">
        <f t="shared" si="15"/>
        <v>2.8269230769230771</v>
      </c>
      <c r="AG28" s="176">
        <f t="shared" si="16"/>
        <v>3.2375000000000003</v>
      </c>
      <c r="AH28" s="176">
        <f t="shared" si="17"/>
        <v>5.2298076923076922</v>
      </c>
      <c r="AI28" s="176">
        <f t="shared" si="18"/>
        <v>12.498076923076923</v>
      </c>
      <c r="AJ28" s="185" t="str">
        <f t="shared" si="21"/>
        <v>Lennie Bow</v>
      </c>
      <c r="AK28" s="1">
        <f t="shared" si="22"/>
        <v>7</v>
      </c>
    </row>
    <row r="29" spans="2:37">
      <c r="B29" s="178" t="str">
        <f>$V11</f>
        <v>Charlie Griffiths</v>
      </c>
      <c r="C29" s="177" t="str">
        <f>Picks!E29</f>
        <v>Chesterfield</v>
      </c>
      <c r="D29" s="178">
        <f>Picks!F29</f>
        <v>7</v>
      </c>
      <c r="E29" s="178">
        <f>Picks!G29</f>
        <v>2.15</v>
      </c>
      <c r="F29" s="177">
        <f>IF(C29="","",INDEX(Odds!K:K,MATCH(C29,Odds!G:G,0)))</f>
        <v>1</v>
      </c>
      <c r="G29" s="177">
        <f>IF(C29="","",Picks!P29)</f>
        <v>0</v>
      </c>
      <c r="H29" s="178">
        <f t="shared" si="0"/>
        <v>0</v>
      </c>
      <c r="I29" s="184" t="str">
        <f t="shared" si="1"/>
        <v>Mark Bunn</v>
      </c>
      <c r="J29" s="176">
        <f>H83</f>
        <v>0</v>
      </c>
      <c r="K29" s="176">
        <f>H84</f>
        <v>0</v>
      </c>
      <c r="L29" s="176">
        <f>H85</f>
        <v>1.4</v>
      </c>
      <c r="M29" s="176">
        <f t="shared" si="2"/>
        <v>0</v>
      </c>
      <c r="N29" s="176">
        <f t="shared" si="3"/>
        <v>0</v>
      </c>
      <c r="O29" s="176">
        <f t="shared" si="4"/>
        <v>2.4</v>
      </c>
      <c r="P29" s="176">
        <f t="shared" si="5"/>
        <v>0</v>
      </c>
      <c r="Q29" s="176">
        <f t="shared" si="6"/>
        <v>0</v>
      </c>
      <c r="R29" s="176">
        <f t="shared" si="7"/>
        <v>0</v>
      </c>
      <c r="S29" s="176">
        <f t="shared" si="8"/>
        <v>0</v>
      </c>
      <c r="T29" s="176">
        <f t="shared" si="9"/>
        <v>-4.5999999999999996</v>
      </c>
      <c r="U29" s="145">
        <f>SUM(G83:G85)</f>
        <v>1</v>
      </c>
      <c r="V29" s="118" t="s">
        <v>277</v>
      </c>
      <c r="W29" s="145">
        <f>SUM(F83:F85)</f>
        <v>3</v>
      </c>
      <c r="X29" s="178">
        <f t="shared" si="10"/>
        <v>1.1499999999999999</v>
      </c>
      <c r="Y29" s="176">
        <f>X83</f>
        <v>2.1</v>
      </c>
      <c r="Z29" s="176">
        <f>X84</f>
        <v>1.0499999999999998</v>
      </c>
      <c r="AA29" s="176">
        <f>X85</f>
        <v>1.4</v>
      </c>
      <c r="AB29" s="176">
        <f t="shared" si="11"/>
        <v>3.1</v>
      </c>
      <c r="AC29" s="182">
        <f t="shared" si="12"/>
        <v>2.0499999999999998</v>
      </c>
      <c r="AD29" s="176">
        <f t="shared" si="13"/>
        <v>2.4</v>
      </c>
      <c r="AE29" s="176">
        <f t="shared" si="14"/>
        <v>6.3549999999999995</v>
      </c>
      <c r="AF29" s="176">
        <f t="shared" si="15"/>
        <v>4.92</v>
      </c>
      <c r="AG29" s="176">
        <f t="shared" si="16"/>
        <v>7.4399999999999995</v>
      </c>
      <c r="AH29" s="176">
        <f t="shared" si="17"/>
        <v>15.251999999999999</v>
      </c>
      <c r="AI29" s="176">
        <f t="shared" si="18"/>
        <v>34.516999999999996</v>
      </c>
      <c r="AJ29" s="185" t="str">
        <f t="shared" si="21"/>
        <v>Mark Bunn</v>
      </c>
      <c r="AK29" s="1">
        <f t="shared" si="22"/>
        <v>7</v>
      </c>
    </row>
    <row r="30" spans="2:37">
      <c r="B30" s="177"/>
      <c r="C30" s="177" t="str">
        <f>Picks!E30</f>
        <v>Reading</v>
      </c>
      <c r="D30" s="178">
        <f>Picks!F30</f>
        <v>7</v>
      </c>
      <c r="E30" s="178">
        <f>Picks!G30</f>
        <v>2.5</v>
      </c>
      <c r="F30" s="177">
        <f>IF(C30="","",INDEX(Odds!K:K,MATCH(C30,Odds!G:G,0)))</f>
        <v>1</v>
      </c>
      <c r="G30" s="177">
        <f>IF(C30="","",Picks!P30)</f>
        <v>0</v>
      </c>
      <c r="H30" s="178">
        <f t="shared" si="0"/>
        <v>0</v>
      </c>
      <c r="I30" s="184" t="str">
        <f t="shared" si="1"/>
        <v>Mark Saunders</v>
      </c>
      <c r="J30" s="176">
        <f>H86</f>
        <v>1.625</v>
      </c>
      <c r="K30" s="176">
        <f>H87</f>
        <v>0.5</v>
      </c>
      <c r="L30" s="176">
        <f>H88</f>
        <v>0.5</v>
      </c>
      <c r="M30" s="176">
        <f t="shared" si="2"/>
        <v>2.625</v>
      </c>
      <c r="N30" s="176">
        <f t="shared" si="3"/>
        <v>1.5</v>
      </c>
      <c r="O30" s="176">
        <f t="shared" si="4"/>
        <v>1.5</v>
      </c>
      <c r="P30" s="176">
        <f t="shared" si="5"/>
        <v>3.9375</v>
      </c>
      <c r="Q30" s="176">
        <f t="shared" si="6"/>
        <v>2.25</v>
      </c>
      <c r="R30" s="176">
        <f t="shared" si="7"/>
        <v>3.9375</v>
      </c>
      <c r="S30" s="176">
        <f t="shared" si="8"/>
        <v>5.90625</v>
      </c>
      <c r="T30" s="176">
        <f t="shared" si="9"/>
        <v>14.65625</v>
      </c>
      <c r="U30" s="145">
        <f>SUM(G86:G88)</f>
        <v>3</v>
      </c>
      <c r="V30" s="115" t="s">
        <v>273</v>
      </c>
      <c r="W30" s="145">
        <f>SUM(F86:F88)</f>
        <v>3</v>
      </c>
      <c r="X30" s="178">
        <f t="shared" si="10"/>
        <v>1.5</v>
      </c>
      <c r="Y30" s="176">
        <f>X86</f>
        <v>1.625</v>
      </c>
      <c r="Z30" s="176">
        <f>X87</f>
        <v>0.5</v>
      </c>
      <c r="AA30" s="176">
        <f>X88</f>
        <v>0.5</v>
      </c>
      <c r="AB30" s="176">
        <f t="shared" si="11"/>
        <v>2.625</v>
      </c>
      <c r="AC30" s="182">
        <f t="shared" si="12"/>
        <v>1.5</v>
      </c>
      <c r="AD30" s="176">
        <f t="shared" si="13"/>
        <v>1.5</v>
      </c>
      <c r="AE30" s="176">
        <f t="shared" si="14"/>
        <v>3.9375</v>
      </c>
      <c r="AF30" s="176">
        <f t="shared" si="15"/>
        <v>2.25</v>
      </c>
      <c r="AG30" s="176">
        <f t="shared" si="16"/>
        <v>3.9375</v>
      </c>
      <c r="AH30" s="176">
        <f t="shared" si="17"/>
        <v>5.90625</v>
      </c>
      <c r="AI30" s="176">
        <f t="shared" si="18"/>
        <v>14.65625</v>
      </c>
      <c r="AJ30" s="185" t="str">
        <f t="shared" si="21"/>
        <v>Mark Saunders</v>
      </c>
      <c r="AK30" s="1">
        <f t="shared" si="22"/>
        <v>7</v>
      </c>
    </row>
    <row r="31" spans="2:37" ht="13.15" thickBot="1">
      <c r="B31" s="179"/>
      <c r="C31" s="179" t="str">
        <f>Picks!E31</f>
        <v>Tamworth</v>
      </c>
      <c r="D31" s="180">
        <f>Picks!F31</f>
        <v>1</v>
      </c>
      <c r="E31" s="180">
        <f>Picks!G31</f>
        <v>2.5</v>
      </c>
      <c r="F31" s="179">
        <f>IF(C31="","",INDEX(Odds!K:K,MATCH(C31,Odds!G:G,0)))</f>
        <v>1</v>
      </c>
      <c r="G31" s="179">
        <f>IF(C31="","",Picks!P31)</f>
        <v>0</v>
      </c>
      <c r="H31" s="180">
        <f t="shared" si="0"/>
        <v>0</v>
      </c>
      <c r="I31" s="184" t="str">
        <f t="shared" si="1"/>
        <v>Martin Molyneux</v>
      </c>
      <c r="J31" s="176" t="str">
        <f>H89</f>
        <v/>
      </c>
      <c r="K31" s="176" t="str">
        <f>H90</f>
        <v/>
      </c>
      <c r="L31" s="176" t="str">
        <f>H91</f>
        <v/>
      </c>
      <c r="M31" s="176" t="e">
        <f t="shared" si="2"/>
        <v>#VALUE!</v>
      </c>
      <c r="N31" s="176" t="e">
        <f t="shared" si="3"/>
        <v>#VALUE!</v>
      </c>
      <c r="O31" s="176" t="e">
        <f t="shared" si="4"/>
        <v>#VALUE!</v>
      </c>
      <c r="P31" s="176" t="e">
        <f t="shared" si="5"/>
        <v>#VALUE!</v>
      </c>
      <c r="Q31" s="176" t="e">
        <f t="shared" si="6"/>
        <v>#VALUE!</v>
      </c>
      <c r="R31" s="176" t="e">
        <f t="shared" si="7"/>
        <v>#VALUE!</v>
      </c>
      <c r="S31" s="176" t="e">
        <f t="shared" si="8"/>
        <v>#VALUE!</v>
      </c>
      <c r="T31" s="176" t="e">
        <f t="shared" si="9"/>
        <v>#VALUE!</v>
      </c>
      <c r="U31" s="145">
        <f>SUM(G89:G91)</f>
        <v>0</v>
      </c>
      <c r="V31" s="118" t="s">
        <v>272</v>
      </c>
      <c r="W31" s="145">
        <f>SUM(F89:F91)</f>
        <v>0</v>
      </c>
      <c r="X31" s="178">
        <f t="shared" si="10"/>
        <v>1.5</v>
      </c>
      <c r="Y31" s="176" t="e">
        <f>X89</f>
        <v>#VALUE!</v>
      </c>
      <c r="Z31" s="176" t="e">
        <f>X90</f>
        <v>#VALUE!</v>
      </c>
      <c r="AA31" s="176" t="e">
        <f>X91</f>
        <v>#VALUE!</v>
      </c>
      <c r="AB31" s="176" t="e">
        <f t="shared" si="11"/>
        <v>#VALUE!</v>
      </c>
      <c r="AC31" s="182" t="e">
        <f t="shared" si="12"/>
        <v>#VALUE!</v>
      </c>
      <c r="AD31" s="176" t="e">
        <f t="shared" si="13"/>
        <v>#VALUE!</v>
      </c>
      <c r="AE31" s="176" t="e">
        <f t="shared" si="14"/>
        <v>#VALUE!</v>
      </c>
      <c r="AF31" s="176" t="e">
        <f t="shared" si="15"/>
        <v>#VALUE!</v>
      </c>
      <c r="AG31" s="176" t="e">
        <f t="shared" si="16"/>
        <v>#VALUE!</v>
      </c>
      <c r="AH31" s="176" t="e">
        <f t="shared" si="17"/>
        <v>#VALUE!</v>
      </c>
      <c r="AI31" s="176" t="e">
        <f t="shared" si="18"/>
        <v>#VALUE!</v>
      </c>
      <c r="AJ31" s="185" t="str">
        <f t="shared" si="21"/>
        <v>Martin Molyneux</v>
      </c>
      <c r="AK31" s="1">
        <f t="shared" si="22"/>
        <v>1</v>
      </c>
    </row>
    <row r="32" spans="2:37">
      <c r="B32" s="177" t="str">
        <f>$V12</f>
        <v>Chris Bow</v>
      </c>
      <c r="C32" s="177" t="str">
        <f>Picks!E32</f>
        <v>Faroe Islands</v>
      </c>
      <c r="D32" s="178">
        <f>Picks!F32</f>
        <v>7</v>
      </c>
      <c r="E32" s="178">
        <f>Picks!G32</f>
        <v>2.2999999999999998</v>
      </c>
      <c r="F32" s="177">
        <f>IF(C32="","",INDEX(Odds!K:K,MATCH(C32,Odds!G:G,0)))</f>
        <v>1</v>
      </c>
      <c r="G32" s="177">
        <f>IF(C32="","",Picks!P32)</f>
        <v>0</v>
      </c>
      <c r="H32" s="178">
        <f t="shared" si="0"/>
        <v>0</v>
      </c>
      <c r="I32" s="184" t="str">
        <f t="shared" si="1"/>
        <v>Martin Tarbuck</v>
      </c>
      <c r="J32" s="176" t="str">
        <f>H92</f>
        <v/>
      </c>
      <c r="K32" s="176" t="str">
        <f>H93</f>
        <v/>
      </c>
      <c r="L32" s="176" t="str">
        <f>H94</f>
        <v/>
      </c>
      <c r="M32" s="176" t="e">
        <f t="shared" si="2"/>
        <v>#VALUE!</v>
      </c>
      <c r="N32" s="176" t="e">
        <f t="shared" si="3"/>
        <v>#VALUE!</v>
      </c>
      <c r="O32" s="176" t="e">
        <f t="shared" si="4"/>
        <v>#VALUE!</v>
      </c>
      <c r="P32" s="176" t="e">
        <f t="shared" si="5"/>
        <v>#VALUE!</v>
      </c>
      <c r="Q32" s="176" t="e">
        <f t="shared" si="6"/>
        <v>#VALUE!</v>
      </c>
      <c r="R32" s="176" t="e">
        <f t="shared" si="7"/>
        <v>#VALUE!</v>
      </c>
      <c r="S32" s="176" t="e">
        <f t="shared" si="8"/>
        <v>#VALUE!</v>
      </c>
      <c r="T32" s="176" t="e">
        <f t="shared" si="9"/>
        <v>#VALUE!</v>
      </c>
      <c r="U32" s="145">
        <f>SUM(G92:G94)</f>
        <v>0</v>
      </c>
      <c r="V32" s="118" t="s">
        <v>350</v>
      </c>
      <c r="W32" s="145">
        <f>SUM(F92:F94)</f>
        <v>0</v>
      </c>
      <c r="X32" s="178">
        <f t="shared" si="10"/>
        <v>1.2999999999999998</v>
      </c>
      <c r="Y32" s="176" t="e">
        <f>X92</f>
        <v>#VALUE!</v>
      </c>
      <c r="Z32" s="176" t="e">
        <f>X93</f>
        <v>#VALUE!</v>
      </c>
      <c r="AA32" s="176" t="e">
        <f>X94</f>
        <v>#VALUE!</v>
      </c>
      <c r="AB32" s="176" t="e">
        <f t="shared" si="11"/>
        <v>#VALUE!</v>
      </c>
      <c r="AC32" s="182" t="e">
        <f t="shared" si="12"/>
        <v>#VALUE!</v>
      </c>
      <c r="AD32" s="176" t="e">
        <f t="shared" si="13"/>
        <v>#VALUE!</v>
      </c>
      <c r="AE32" s="176" t="e">
        <f t="shared" si="14"/>
        <v>#VALUE!</v>
      </c>
      <c r="AF32" s="176" t="e">
        <f t="shared" si="15"/>
        <v>#VALUE!</v>
      </c>
      <c r="AG32" s="176" t="e">
        <f t="shared" si="16"/>
        <v>#VALUE!</v>
      </c>
      <c r="AH32" s="176" t="e">
        <f t="shared" si="17"/>
        <v>#VALUE!</v>
      </c>
      <c r="AI32" s="176" t="e">
        <f t="shared" si="18"/>
        <v>#VALUE!</v>
      </c>
      <c r="AJ32" s="185" t="str">
        <f t="shared" si="21"/>
        <v>Martin Tarbuck</v>
      </c>
      <c r="AK32" s="1">
        <f t="shared" si="22"/>
        <v>1</v>
      </c>
    </row>
    <row r="33" spans="2:37">
      <c r="B33" s="177"/>
      <c r="C33" s="177" t="str">
        <f>Picks!E33</f>
        <v>Croatia</v>
      </c>
      <c r="D33" s="178">
        <f>Picks!F33</f>
        <v>7</v>
      </c>
      <c r="E33" s="178">
        <f>Picks!G33</f>
        <v>2.15</v>
      </c>
      <c r="F33" s="177">
        <f>IF(C33="","",INDEX(Odds!K:K,MATCH(C33,Odds!G:G,0)))</f>
        <v>1</v>
      </c>
      <c r="G33" s="177">
        <f>IF(C33="","",Picks!P33)</f>
        <v>1</v>
      </c>
      <c r="H33" s="178">
        <f t="shared" si="0"/>
        <v>1.1499999999999999</v>
      </c>
      <c r="I33" s="184" t="str">
        <f t="shared" ref="I33:I45" si="23">V33</f>
        <v>Mike Penk</v>
      </c>
      <c r="J33" s="176">
        <f>H95</f>
        <v>0</v>
      </c>
      <c r="K33" s="176">
        <f>H96</f>
        <v>0</v>
      </c>
      <c r="L33" s="176">
        <f>H97</f>
        <v>1.2000000000000002</v>
      </c>
      <c r="M33" s="176">
        <f t="shared" ref="M33:M45" si="24">IF(J33=0,0,1)+J33</f>
        <v>0</v>
      </c>
      <c r="N33" s="176">
        <f t="shared" ref="N33:N45" si="25">IF(K33=0,0,1)+K33</f>
        <v>0</v>
      </c>
      <c r="O33" s="176">
        <f t="shared" ref="O33:O45" si="26">IF(L33=0,0,1)+L33</f>
        <v>2.2000000000000002</v>
      </c>
      <c r="P33" s="176">
        <f t="shared" ref="P33:P45" si="27">IF(K33=0,0,(M33*K33)+M33)</f>
        <v>0</v>
      </c>
      <c r="Q33" s="176">
        <f t="shared" ref="Q33:Q45" si="28">IF(L33=0,0,(N33*L33)+N33)</f>
        <v>0</v>
      </c>
      <c r="R33" s="176">
        <f t="shared" ref="R33:R45" si="29">IF(J33=0,0,(O33*J33)+O33)</f>
        <v>0</v>
      </c>
      <c r="S33" s="176">
        <f t="shared" ref="S33:S45" si="30">IF(L33=0,0,(P33*L33)+P33)</f>
        <v>0</v>
      </c>
      <c r="T33" s="176">
        <f t="shared" ref="T33:T45" si="31">SUM(M33:S33)-(IF(W33=1,A$2*1,0))-(IF(W33=2,A$2*3,0))-(IF(W33=3,A$2*7,0))</f>
        <v>-4.8</v>
      </c>
      <c r="U33" s="145">
        <f>SUM(G95:G97)</f>
        <v>1</v>
      </c>
      <c r="V33" s="116" t="s">
        <v>280</v>
      </c>
      <c r="W33" s="145">
        <f>SUM(F95:F97)</f>
        <v>3</v>
      </c>
      <c r="X33" s="178">
        <f t="shared" si="10"/>
        <v>1.1499999999999999</v>
      </c>
      <c r="Y33" s="176">
        <f>X95</f>
        <v>0.8</v>
      </c>
      <c r="Z33" s="176">
        <f>X96</f>
        <v>1.2000000000000002</v>
      </c>
      <c r="AA33" s="176">
        <f>X97</f>
        <v>1.2000000000000002</v>
      </c>
      <c r="AB33" s="176">
        <f t="shared" ref="AB33:AB45" si="32">IF(Y33=0,0,1)+Y33</f>
        <v>1.8</v>
      </c>
      <c r="AC33" s="182">
        <f t="shared" ref="AC33:AC45" si="33">IF(Z33=0,0,1)+Z33</f>
        <v>2.2000000000000002</v>
      </c>
      <c r="AD33" s="176">
        <f t="shared" ref="AD33:AD45" si="34">IF(AA33=0,0,1)+AA33</f>
        <v>2.2000000000000002</v>
      </c>
      <c r="AE33" s="176">
        <f t="shared" ref="AE33:AE45" si="35">IF(Z33=0,0,(AB33*Z33)+AB33)</f>
        <v>3.9600000000000009</v>
      </c>
      <c r="AF33" s="176">
        <f t="shared" ref="AF33:AF45" si="36">IF(AA33=0,0,(AC33*AA33)+AC33)</f>
        <v>4.8400000000000007</v>
      </c>
      <c r="AG33" s="176">
        <f t="shared" ref="AG33:AG45" si="37">IF(Y33=0,0,(AD33*Y33)+AD33)</f>
        <v>3.9600000000000004</v>
      </c>
      <c r="AH33" s="176">
        <f t="shared" ref="AH33:AH45" si="38">IF(AA33=0,0,(AE33*AA33)+AE33)</f>
        <v>8.7120000000000033</v>
      </c>
      <c r="AI33" s="176">
        <f t="shared" ref="AI33:AI45" si="39">SUM(AB33:AH33)-AK33</f>
        <v>20.672000000000004</v>
      </c>
      <c r="AJ33" s="185" t="str">
        <f t="shared" ref="AJ33:AJ51" si="40">$V33</f>
        <v>Mike Penk</v>
      </c>
      <c r="AK33" s="1">
        <f t="shared" ref="AK33:AK46" si="41">IF(W33=3,7,IF(W33=2,3,1))</f>
        <v>7</v>
      </c>
    </row>
    <row r="34" spans="2:37" ht="13.15" thickBot="1">
      <c r="B34" s="179"/>
      <c r="C34" s="179" t="str">
        <f>Picks!E34</f>
        <v>Slovenia</v>
      </c>
      <c r="D34" s="180">
        <f>Picks!F34</f>
        <v>7</v>
      </c>
      <c r="E34" s="180">
        <f>Picks!G34</f>
        <v>2.6</v>
      </c>
      <c r="F34" s="179">
        <f>IF(C34="","",INDEX(Odds!K:K,MATCH(C34,Odds!G:G,0)))</f>
        <v>1</v>
      </c>
      <c r="G34" s="179">
        <f>IF(C34="","",Picks!P34)</f>
        <v>0</v>
      </c>
      <c r="H34" s="180">
        <f t="shared" ref="H34:H65" si="42">IF(C34="","",+((E34-1)*G34*F34*A$2))</f>
        <v>0</v>
      </c>
      <c r="I34" s="184" t="str">
        <f t="shared" si="23"/>
        <v>Naaman Boyd</v>
      </c>
      <c r="J34" s="176">
        <f>H98</f>
        <v>0</v>
      </c>
      <c r="K34" s="176">
        <f>H99</f>
        <v>0</v>
      </c>
      <c r="L34" s="176">
        <f>H100</f>
        <v>0.5</v>
      </c>
      <c r="M34" s="176">
        <f t="shared" si="24"/>
        <v>0</v>
      </c>
      <c r="N34" s="176">
        <f t="shared" si="25"/>
        <v>0</v>
      </c>
      <c r="O34" s="176">
        <f t="shared" si="26"/>
        <v>1.5</v>
      </c>
      <c r="P34" s="176">
        <f t="shared" si="27"/>
        <v>0</v>
      </c>
      <c r="Q34" s="176">
        <f t="shared" si="28"/>
        <v>0</v>
      </c>
      <c r="R34" s="176">
        <f t="shared" si="29"/>
        <v>0</v>
      </c>
      <c r="S34" s="176">
        <f t="shared" si="30"/>
        <v>0</v>
      </c>
      <c r="T34" s="176">
        <f t="shared" si="31"/>
        <v>-5.5</v>
      </c>
      <c r="U34" s="145">
        <f>SUM(G98:G100)</f>
        <v>1</v>
      </c>
      <c r="V34" s="115" t="s">
        <v>535</v>
      </c>
      <c r="W34" s="145">
        <f>SUM(F98:F100)</f>
        <v>3</v>
      </c>
      <c r="X34" s="178">
        <f t="shared" ref="X34:X65" si="43">+((E34-1)*F34*A$2)</f>
        <v>1.6</v>
      </c>
      <c r="Y34" s="182">
        <f>X98</f>
        <v>1.5</v>
      </c>
      <c r="Z34" s="176">
        <f>X99</f>
        <v>1.5</v>
      </c>
      <c r="AA34" s="176">
        <f>X100</f>
        <v>0.5</v>
      </c>
      <c r="AB34" s="176">
        <f t="shared" si="32"/>
        <v>2.5</v>
      </c>
      <c r="AC34" s="182">
        <f t="shared" si="33"/>
        <v>2.5</v>
      </c>
      <c r="AD34" s="176">
        <f t="shared" si="34"/>
        <v>1.5</v>
      </c>
      <c r="AE34" s="176">
        <f t="shared" si="35"/>
        <v>6.25</v>
      </c>
      <c r="AF34" s="176">
        <f t="shared" si="36"/>
        <v>3.75</v>
      </c>
      <c r="AG34" s="176">
        <f t="shared" si="37"/>
        <v>3.75</v>
      </c>
      <c r="AH34" s="176">
        <f t="shared" si="38"/>
        <v>9.375</v>
      </c>
      <c r="AI34" s="176">
        <f t="shared" si="39"/>
        <v>22.625</v>
      </c>
      <c r="AJ34" s="185" t="str">
        <f t="shared" si="40"/>
        <v>Naaman Boyd</v>
      </c>
      <c r="AK34" s="1">
        <f t="shared" si="41"/>
        <v>7</v>
      </c>
    </row>
    <row r="35" spans="2:37">
      <c r="B35" s="177" t="str">
        <f>$V13</f>
        <v>Chris Griffin</v>
      </c>
      <c r="C35" s="177" t="str">
        <f>Picks!E35</f>
        <v>Italy draw</v>
      </c>
      <c r="D35" s="178">
        <f>Picks!F35</f>
        <v>6</v>
      </c>
      <c r="E35" s="178">
        <f>Picks!G35</f>
        <v>3.4</v>
      </c>
      <c r="F35" s="177">
        <f>IF(C35="","",INDEX(Odds!K:K,MATCH(C35,Odds!G:G,0)))</f>
        <v>1</v>
      </c>
      <c r="G35" s="177">
        <f>IF(C35="","",Picks!P35)</f>
        <v>0</v>
      </c>
      <c r="H35" s="178">
        <f t="shared" si="42"/>
        <v>0</v>
      </c>
      <c r="I35" s="184" t="str">
        <f t="shared" si="23"/>
        <v>Nick Blocksidge</v>
      </c>
      <c r="J35" s="176">
        <f>H101</f>
        <v>0.36363636363636376</v>
      </c>
      <c r="K35" s="176">
        <f>H102</f>
        <v>0.5</v>
      </c>
      <c r="L35" s="176">
        <f>H103</f>
        <v>0</v>
      </c>
      <c r="M35" s="176">
        <f t="shared" si="24"/>
        <v>1.3636363636363638</v>
      </c>
      <c r="N35" s="176">
        <f t="shared" si="25"/>
        <v>1.5</v>
      </c>
      <c r="O35" s="176">
        <f t="shared" si="26"/>
        <v>0</v>
      </c>
      <c r="P35" s="176">
        <f t="shared" si="27"/>
        <v>2.0454545454545459</v>
      </c>
      <c r="Q35" s="176">
        <f t="shared" si="28"/>
        <v>0</v>
      </c>
      <c r="R35" s="176">
        <f t="shared" si="29"/>
        <v>0</v>
      </c>
      <c r="S35" s="176">
        <f t="shared" si="30"/>
        <v>0</v>
      </c>
      <c r="T35" s="176">
        <f t="shared" si="31"/>
        <v>-2.0909090909090899</v>
      </c>
      <c r="U35" s="145">
        <f>SUM(G101:G103)</f>
        <v>2</v>
      </c>
      <c r="V35" s="115" t="s">
        <v>349</v>
      </c>
      <c r="W35" s="145">
        <f>SUM(F101:F103)</f>
        <v>3</v>
      </c>
      <c r="X35" s="178">
        <f t="shared" si="43"/>
        <v>2.4</v>
      </c>
      <c r="Y35" s="176">
        <f>X101</f>
        <v>0.36363636363636376</v>
      </c>
      <c r="Z35" s="176">
        <f>X102</f>
        <v>0.5</v>
      </c>
      <c r="AA35" s="176">
        <f>X103</f>
        <v>2.4</v>
      </c>
      <c r="AB35" s="176">
        <f t="shared" si="32"/>
        <v>1.3636363636363638</v>
      </c>
      <c r="AC35" s="182">
        <f t="shared" si="33"/>
        <v>1.5</v>
      </c>
      <c r="AD35" s="176">
        <f t="shared" si="34"/>
        <v>3.4</v>
      </c>
      <c r="AE35" s="176">
        <f t="shared" si="35"/>
        <v>2.0454545454545459</v>
      </c>
      <c r="AF35" s="176">
        <f t="shared" si="36"/>
        <v>5.0999999999999996</v>
      </c>
      <c r="AG35" s="176">
        <f t="shared" si="37"/>
        <v>4.6363636363636367</v>
      </c>
      <c r="AH35" s="176">
        <f t="shared" si="38"/>
        <v>6.9545454545454559</v>
      </c>
      <c r="AI35" s="176">
        <f t="shared" si="39"/>
        <v>18.000000000000004</v>
      </c>
      <c r="AJ35" s="185" t="str">
        <f t="shared" si="40"/>
        <v>Nick Blocksidge</v>
      </c>
      <c r="AK35" s="1">
        <f t="shared" si="41"/>
        <v>7</v>
      </c>
    </row>
    <row r="36" spans="2:37">
      <c r="B36" s="177"/>
      <c r="C36" s="177" t="str">
        <f>Picks!E36</f>
        <v>Walsall</v>
      </c>
      <c r="D36" s="178">
        <f>Picks!F36</f>
        <v>7</v>
      </c>
      <c r="E36" s="178">
        <f>Picks!G36</f>
        <v>2.7</v>
      </c>
      <c r="F36" s="177">
        <f>IF(C36="","",INDEX(Odds!K:K,MATCH(C36,Odds!G:G,0)))</f>
        <v>1</v>
      </c>
      <c r="G36" s="177">
        <f>IF(C36="","",Picks!P36)</f>
        <v>0</v>
      </c>
      <c r="H36" s="178">
        <f t="shared" si="42"/>
        <v>0</v>
      </c>
      <c r="I36" s="184" t="str">
        <f t="shared" si="23"/>
        <v>Nigel Heyes</v>
      </c>
      <c r="J36" s="176">
        <f>H104</f>
        <v>0</v>
      </c>
      <c r="K36" s="176">
        <f>H105</f>
        <v>0</v>
      </c>
      <c r="L36" s="176">
        <f>H106</f>
        <v>0</v>
      </c>
      <c r="M36" s="176">
        <f t="shared" si="24"/>
        <v>0</v>
      </c>
      <c r="N36" s="176">
        <f t="shared" si="25"/>
        <v>0</v>
      </c>
      <c r="O36" s="176">
        <f t="shared" si="26"/>
        <v>0</v>
      </c>
      <c r="P36" s="176">
        <f t="shared" si="27"/>
        <v>0</v>
      </c>
      <c r="Q36" s="176">
        <f t="shared" si="28"/>
        <v>0</v>
      </c>
      <c r="R36" s="176">
        <f t="shared" si="29"/>
        <v>0</v>
      </c>
      <c r="S36" s="176">
        <f t="shared" si="30"/>
        <v>0</v>
      </c>
      <c r="T36" s="176">
        <f t="shared" si="31"/>
        <v>-7</v>
      </c>
      <c r="U36" s="145">
        <f>SUM(G104:G106)</f>
        <v>0</v>
      </c>
      <c r="V36" s="117" t="s">
        <v>292</v>
      </c>
      <c r="W36" s="145">
        <f>SUM(F104:F106)</f>
        <v>3</v>
      </c>
      <c r="X36" s="178">
        <f t="shared" si="43"/>
        <v>1.7000000000000002</v>
      </c>
      <c r="Y36" s="176">
        <f>X104</f>
        <v>1.1499999999999999</v>
      </c>
      <c r="Z36" s="176">
        <f>X105</f>
        <v>1.1000000000000001</v>
      </c>
      <c r="AA36" s="176">
        <f>X106</f>
        <v>1.0499999999999998</v>
      </c>
      <c r="AB36" s="176">
        <f t="shared" si="32"/>
        <v>2.15</v>
      </c>
      <c r="AC36" s="182">
        <f t="shared" si="33"/>
        <v>2.1</v>
      </c>
      <c r="AD36" s="176">
        <f t="shared" si="34"/>
        <v>2.0499999999999998</v>
      </c>
      <c r="AE36" s="176">
        <f t="shared" si="35"/>
        <v>4.5150000000000006</v>
      </c>
      <c r="AF36" s="176">
        <f t="shared" si="36"/>
        <v>4.3049999999999997</v>
      </c>
      <c r="AG36" s="176">
        <f t="shared" si="37"/>
        <v>4.4074999999999989</v>
      </c>
      <c r="AH36" s="176">
        <f t="shared" si="38"/>
        <v>9.255749999999999</v>
      </c>
      <c r="AI36" s="176">
        <f t="shared" si="39"/>
        <v>21.783249999999999</v>
      </c>
      <c r="AJ36" s="185" t="str">
        <f t="shared" si="40"/>
        <v>Nigel Heyes</v>
      </c>
      <c r="AK36" s="1">
        <f t="shared" si="41"/>
        <v>7</v>
      </c>
    </row>
    <row r="37" spans="2:37" ht="13.15" thickBot="1">
      <c r="B37" s="179"/>
      <c r="C37" s="179" t="str">
        <f>Picks!E37</f>
        <v>England draw</v>
      </c>
      <c r="D37" s="180">
        <f>Picks!F37</f>
        <v>7</v>
      </c>
      <c r="E37" s="180">
        <f>Picks!G37</f>
        <v>3.1</v>
      </c>
      <c r="F37" s="179">
        <f>IF(C37="","",INDEX(Odds!K:K,MATCH(C37,Odds!G:G,0)))</f>
        <v>1</v>
      </c>
      <c r="G37" s="179">
        <f>IF(C37="","",Picks!P37)</f>
        <v>0</v>
      </c>
      <c r="H37" s="180">
        <f t="shared" si="42"/>
        <v>0</v>
      </c>
      <c r="I37" s="184" t="str">
        <f t="shared" si="23"/>
        <v>Paul Adderley</v>
      </c>
      <c r="J37" s="176">
        <f>H107</f>
        <v>0</v>
      </c>
      <c r="K37" s="176">
        <f>H108</f>
        <v>0</v>
      </c>
      <c r="L37" s="176">
        <f>H109</f>
        <v>0.72727272727272729</v>
      </c>
      <c r="M37" s="176">
        <f t="shared" si="24"/>
        <v>0</v>
      </c>
      <c r="N37" s="176">
        <f t="shared" si="25"/>
        <v>0</v>
      </c>
      <c r="O37" s="176">
        <f t="shared" si="26"/>
        <v>1.7272727272727273</v>
      </c>
      <c r="P37" s="176">
        <f t="shared" si="27"/>
        <v>0</v>
      </c>
      <c r="Q37" s="176">
        <f t="shared" si="28"/>
        <v>0</v>
      </c>
      <c r="R37" s="176">
        <f t="shared" si="29"/>
        <v>0</v>
      </c>
      <c r="S37" s="176">
        <f t="shared" si="30"/>
        <v>0</v>
      </c>
      <c r="T37" s="176">
        <f t="shared" si="31"/>
        <v>-5.2727272727272725</v>
      </c>
      <c r="U37" s="145">
        <f>SUM(G107:G109)</f>
        <v>1</v>
      </c>
      <c r="V37" s="116" t="s">
        <v>275</v>
      </c>
      <c r="W37" s="145">
        <f>SUM(F107:F109)</f>
        <v>3</v>
      </c>
      <c r="X37" s="178">
        <f t="shared" si="43"/>
        <v>2.1</v>
      </c>
      <c r="Y37" s="176">
        <f>X107</f>
        <v>0.8</v>
      </c>
      <c r="Z37" s="176">
        <f>X108</f>
        <v>0.61538461538461542</v>
      </c>
      <c r="AA37" s="176">
        <f>X109</f>
        <v>0.72727272727272729</v>
      </c>
      <c r="AB37" s="176">
        <f t="shared" si="32"/>
        <v>1.8</v>
      </c>
      <c r="AC37" s="182">
        <f t="shared" si="33"/>
        <v>1.6153846153846154</v>
      </c>
      <c r="AD37" s="176">
        <f t="shared" si="34"/>
        <v>1.7272727272727273</v>
      </c>
      <c r="AE37" s="176">
        <f t="shared" si="35"/>
        <v>2.907692307692308</v>
      </c>
      <c r="AF37" s="176">
        <f t="shared" si="36"/>
        <v>2.79020979020979</v>
      </c>
      <c r="AG37" s="176">
        <f t="shared" si="37"/>
        <v>3.1090909090909093</v>
      </c>
      <c r="AH37" s="176">
        <f t="shared" si="38"/>
        <v>5.0223776223776229</v>
      </c>
      <c r="AI37" s="176">
        <f t="shared" si="39"/>
        <v>11.972027972027973</v>
      </c>
      <c r="AJ37" s="185" t="str">
        <f t="shared" si="40"/>
        <v>Paul Adderley</v>
      </c>
      <c r="AK37" s="1">
        <f t="shared" si="41"/>
        <v>7</v>
      </c>
    </row>
    <row r="38" spans="2:37">
      <c r="B38" s="178" t="str">
        <f>$V14</f>
        <v>Chris Luck</v>
      </c>
      <c r="C38" s="177" t="str">
        <f>Picks!E38</f>
        <v>Reading</v>
      </c>
      <c r="D38" s="178">
        <f>Picks!F38</f>
        <v>7</v>
      </c>
      <c r="E38" s="178">
        <f>Picks!G38</f>
        <v>2.5</v>
      </c>
      <c r="F38" s="177">
        <f>IF(C38="","",INDEX(Odds!K:K,MATCH(C38,Odds!G:G,0)))</f>
        <v>1</v>
      </c>
      <c r="G38" s="177">
        <f>IF(C38="","",Picks!P38)</f>
        <v>0</v>
      </c>
      <c r="H38" s="178">
        <f t="shared" si="42"/>
        <v>0</v>
      </c>
      <c r="I38" s="184" t="str">
        <f t="shared" si="23"/>
        <v>Paul Allen</v>
      </c>
      <c r="J38" s="176">
        <f>H110</f>
        <v>0</v>
      </c>
      <c r="K38" s="176">
        <f>H111</f>
        <v>0</v>
      </c>
      <c r="L38" s="176">
        <f>H112</f>
        <v>0</v>
      </c>
      <c r="M38" s="176">
        <f t="shared" si="24"/>
        <v>0</v>
      </c>
      <c r="N38" s="176">
        <f t="shared" si="25"/>
        <v>0</v>
      </c>
      <c r="O38" s="176">
        <f t="shared" si="26"/>
        <v>0</v>
      </c>
      <c r="P38" s="176">
        <f t="shared" si="27"/>
        <v>0</v>
      </c>
      <c r="Q38" s="176">
        <f t="shared" si="28"/>
        <v>0</v>
      </c>
      <c r="R38" s="176">
        <f t="shared" si="29"/>
        <v>0</v>
      </c>
      <c r="S38" s="176">
        <f t="shared" si="30"/>
        <v>0</v>
      </c>
      <c r="T38" s="176">
        <f t="shared" si="31"/>
        <v>-7</v>
      </c>
      <c r="U38" s="145">
        <f>SUM(G110:G112)</f>
        <v>0</v>
      </c>
      <c r="V38" s="118" t="s">
        <v>266</v>
      </c>
      <c r="W38" s="145">
        <f>SUM(F110:F112)</f>
        <v>3</v>
      </c>
      <c r="X38" s="178">
        <f t="shared" si="43"/>
        <v>1.5</v>
      </c>
      <c r="Y38" s="176">
        <f>X110</f>
        <v>2.4</v>
      </c>
      <c r="Z38" s="176">
        <f>X111</f>
        <v>2.2999999999999998</v>
      </c>
      <c r="AA38" s="176">
        <f>X112</f>
        <v>2.1</v>
      </c>
      <c r="AB38" s="176">
        <f t="shared" si="32"/>
        <v>3.4</v>
      </c>
      <c r="AC38" s="182">
        <f t="shared" si="33"/>
        <v>3.3</v>
      </c>
      <c r="AD38" s="176">
        <f t="shared" si="34"/>
        <v>3.1</v>
      </c>
      <c r="AE38" s="176">
        <f t="shared" si="35"/>
        <v>11.219999999999999</v>
      </c>
      <c r="AF38" s="176">
        <f t="shared" si="36"/>
        <v>10.23</v>
      </c>
      <c r="AG38" s="176">
        <f t="shared" si="37"/>
        <v>10.54</v>
      </c>
      <c r="AH38" s="176">
        <f t="shared" si="38"/>
        <v>34.781999999999996</v>
      </c>
      <c r="AI38" s="176">
        <f t="shared" si="39"/>
        <v>69.571999999999989</v>
      </c>
      <c r="AJ38" s="185" t="str">
        <f t="shared" si="40"/>
        <v>Paul Allen</v>
      </c>
      <c r="AK38" s="1">
        <f t="shared" si="41"/>
        <v>7</v>
      </c>
    </row>
    <row r="39" spans="2:37">
      <c r="B39" s="177"/>
      <c r="C39" s="177" t="str">
        <f>Picks!E39</f>
        <v>Chesterfield</v>
      </c>
      <c r="D39" s="178">
        <f>Picks!F39</f>
        <v>7</v>
      </c>
      <c r="E39" s="178">
        <f>Picks!G39</f>
        <v>2.15</v>
      </c>
      <c r="F39" s="177">
        <f>IF(C39="","",INDEX(Odds!K:K,MATCH(C39,Odds!G:G,0)))</f>
        <v>1</v>
      </c>
      <c r="G39" s="177">
        <f>IF(C39="","",Picks!P39)</f>
        <v>0</v>
      </c>
      <c r="H39" s="178">
        <f t="shared" si="42"/>
        <v>0</v>
      </c>
      <c r="I39" s="184" t="str">
        <f t="shared" si="23"/>
        <v>Paul Barnes</v>
      </c>
      <c r="J39" s="176">
        <f>H113</f>
        <v>0.5</v>
      </c>
      <c r="K39" s="176">
        <f>H114</f>
        <v>0.7</v>
      </c>
      <c r="L39" s="176">
        <f>H115</f>
        <v>1.5</v>
      </c>
      <c r="M39" s="176">
        <f t="shared" si="24"/>
        <v>1.5</v>
      </c>
      <c r="N39" s="176">
        <f t="shared" si="25"/>
        <v>1.7</v>
      </c>
      <c r="O39" s="176">
        <f t="shared" si="26"/>
        <v>2.5</v>
      </c>
      <c r="P39" s="176">
        <f t="shared" si="27"/>
        <v>2.5499999999999998</v>
      </c>
      <c r="Q39" s="176">
        <f t="shared" si="28"/>
        <v>4.25</v>
      </c>
      <c r="R39" s="176">
        <f t="shared" si="29"/>
        <v>3.75</v>
      </c>
      <c r="S39" s="176">
        <f t="shared" si="30"/>
        <v>6.375</v>
      </c>
      <c r="T39" s="176">
        <f t="shared" si="31"/>
        <v>15.625</v>
      </c>
      <c r="U39" s="145">
        <f>SUM(G113:G115)</f>
        <v>3</v>
      </c>
      <c r="V39" s="115" t="s">
        <v>284</v>
      </c>
      <c r="W39" s="145">
        <f>SUM(F113:F115)</f>
        <v>3</v>
      </c>
      <c r="X39" s="178">
        <f t="shared" si="43"/>
        <v>1.1499999999999999</v>
      </c>
      <c r="Y39" s="176">
        <f>X113</f>
        <v>0.5</v>
      </c>
      <c r="Z39" s="176">
        <f>X114</f>
        <v>0.7</v>
      </c>
      <c r="AA39" s="176">
        <f>X115</f>
        <v>1.5</v>
      </c>
      <c r="AB39" s="176">
        <f t="shared" si="32"/>
        <v>1.5</v>
      </c>
      <c r="AC39" s="182">
        <f t="shared" si="33"/>
        <v>1.7</v>
      </c>
      <c r="AD39" s="176">
        <f t="shared" si="34"/>
        <v>2.5</v>
      </c>
      <c r="AE39" s="176">
        <f t="shared" si="35"/>
        <v>2.5499999999999998</v>
      </c>
      <c r="AF39" s="176">
        <f t="shared" si="36"/>
        <v>4.25</v>
      </c>
      <c r="AG39" s="176">
        <f t="shared" si="37"/>
        <v>3.75</v>
      </c>
      <c r="AH39" s="176">
        <f t="shared" si="38"/>
        <v>6.375</v>
      </c>
      <c r="AI39" s="176">
        <f t="shared" si="39"/>
        <v>15.625</v>
      </c>
      <c r="AJ39" s="185" t="str">
        <f t="shared" si="40"/>
        <v>Paul Barnes</v>
      </c>
      <c r="AK39" s="1">
        <f t="shared" si="41"/>
        <v>7</v>
      </c>
    </row>
    <row r="40" spans="2:37" ht="13.15" thickBot="1">
      <c r="B40" s="179"/>
      <c r="C40" s="179" t="str">
        <f>Picks!E40</f>
        <v>Rotherham</v>
      </c>
      <c r="D40" s="180">
        <f>Picks!F40</f>
        <v>7</v>
      </c>
      <c r="E40" s="180">
        <f>Picks!G40</f>
        <v>2.1</v>
      </c>
      <c r="F40" s="179">
        <f>IF(C40="","",INDEX(Odds!K:K,MATCH(C40,Odds!G:G,0)))</f>
        <v>1</v>
      </c>
      <c r="G40" s="179">
        <f>IF(C40="","",Picks!P40)</f>
        <v>0</v>
      </c>
      <c r="H40" s="180">
        <f t="shared" si="42"/>
        <v>0</v>
      </c>
      <c r="I40" s="184" t="str">
        <f t="shared" si="23"/>
        <v>Paul Fairhurst</v>
      </c>
      <c r="J40" s="176">
        <f>H116</f>
        <v>1.4</v>
      </c>
      <c r="K40" s="176">
        <f>H117</f>
        <v>0.10000000000000009</v>
      </c>
      <c r="L40" s="176">
        <f>H118</f>
        <v>1.5</v>
      </c>
      <c r="M40" s="176">
        <f t="shared" si="24"/>
        <v>2.4</v>
      </c>
      <c r="N40" s="176">
        <f t="shared" si="25"/>
        <v>1.1000000000000001</v>
      </c>
      <c r="O40" s="176">
        <f t="shared" si="26"/>
        <v>2.5</v>
      </c>
      <c r="P40" s="176">
        <f t="shared" si="27"/>
        <v>2.64</v>
      </c>
      <c r="Q40" s="176">
        <f t="shared" si="28"/>
        <v>2.75</v>
      </c>
      <c r="R40" s="176">
        <f t="shared" si="29"/>
        <v>6</v>
      </c>
      <c r="S40" s="176">
        <f t="shared" si="30"/>
        <v>6.6</v>
      </c>
      <c r="T40" s="176">
        <f t="shared" si="31"/>
        <v>16.990000000000002</v>
      </c>
      <c r="U40" s="145">
        <f>SUM(G116:G118)</f>
        <v>3</v>
      </c>
      <c r="V40" s="118" t="s">
        <v>288</v>
      </c>
      <c r="W40" s="145">
        <f>SUM(F116:F118)</f>
        <v>3</v>
      </c>
      <c r="X40" s="178">
        <f t="shared" si="43"/>
        <v>1.1000000000000001</v>
      </c>
      <c r="Y40" s="176">
        <f>X116</f>
        <v>1.4</v>
      </c>
      <c r="Z40" s="176">
        <f>X117</f>
        <v>0.10000000000000009</v>
      </c>
      <c r="AA40" s="176">
        <f>X118</f>
        <v>1.5</v>
      </c>
      <c r="AB40" s="176">
        <f t="shared" si="32"/>
        <v>2.4</v>
      </c>
      <c r="AC40" s="182">
        <f t="shared" si="33"/>
        <v>1.1000000000000001</v>
      </c>
      <c r="AD40" s="176">
        <f t="shared" si="34"/>
        <v>2.5</v>
      </c>
      <c r="AE40" s="176">
        <f t="shared" si="35"/>
        <v>2.64</v>
      </c>
      <c r="AF40" s="176">
        <f t="shared" si="36"/>
        <v>2.75</v>
      </c>
      <c r="AG40" s="176">
        <f t="shared" si="37"/>
        <v>6</v>
      </c>
      <c r="AH40" s="176">
        <f t="shared" si="38"/>
        <v>6.6</v>
      </c>
      <c r="AI40" s="176">
        <f t="shared" si="39"/>
        <v>16.990000000000002</v>
      </c>
      <c r="AJ40" s="185" t="str">
        <f t="shared" si="40"/>
        <v>Paul Fairhurst</v>
      </c>
      <c r="AK40" s="1">
        <f t="shared" si="41"/>
        <v>7</v>
      </c>
    </row>
    <row r="41" spans="2:37">
      <c r="B41" s="177" t="str">
        <f>$V15</f>
        <v>Dan Gibbard</v>
      </c>
      <c r="C41" s="177" t="str">
        <f>Picks!E41</f>
        <v>Southend</v>
      </c>
      <c r="D41" s="178">
        <f>Picks!F41</f>
        <v>1</v>
      </c>
      <c r="E41" s="178">
        <f>Picks!G41</f>
        <v>1.75</v>
      </c>
      <c r="F41" s="177">
        <f>IF(C41="","",INDEX(Odds!K:K,MATCH(C41,Odds!G:G,0)))</f>
        <v>1</v>
      </c>
      <c r="G41" s="177">
        <f>IF(C41="","",Picks!P41)</f>
        <v>0</v>
      </c>
      <c r="H41" s="178">
        <f t="shared" si="42"/>
        <v>0</v>
      </c>
      <c r="I41" s="184" t="str">
        <f t="shared" si="23"/>
        <v>Phil Miller</v>
      </c>
      <c r="J41" s="176">
        <f>H119</f>
        <v>0.7</v>
      </c>
      <c r="K41" s="176">
        <f>H120</f>
        <v>0.44444444444444442</v>
      </c>
      <c r="L41" s="176">
        <f>H121</f>
        <v>0</v>
      </c>
      <c r="M41" s="176">
        <f t="shared" si="24"/>
        <v>1.7</v>
      </c>
      <c r="N41" s="176">
        <f t="shared" si="25"/>
        <v>1.4444444444444444</v>
      </c>
      <c r="O41" s="176">
        <f t="shared" si="26"/>
        <v>0</v>
      </c>
      <c r="P41" s="176">
        <f t="shared" si="27"/>
        <v>2.4555555555555557</v>
      </c>
      <c r="Q41" s="176">
        <f t="shared" si="28"/>
        <v>0</v>
      </c>
      <c r="R41" s="176">
        <f t="shared" si="29"/>
        <v>0</v>
      </c>
      <c r="S41" s="176">
        <f t="shared" si="30"/>
        <v>0</v>
      </c>
      <c r="T41" s="176">
        <f t="shared" si="31"/>
        <v>-1.4000000000000004</v>
      </c>
      <c r="U41" s="145">
        <f>SUM(G119:G121)</f>
        <v>2</v>
      </c>
      <c r="V41" s="118" t="s">
        <v>297</v>
      </c>
      <c r="W41" s="145">
        <f>SUM(F119:F121)</f>
        <v>3</v>
      </c>
      <c r="X41" s="178">
        <f t="shared" si="43"/>
        <v>0.75</v>
      </c>
      <c r="Y41" s="176">
        <f>X119</f>
        <v>0.7</v>
      </c>
      <c r="Z41" s="176">
        <f>X120</f>
        <v>0.44444444444444442</v>
      </c>
      <c r="AA41" s="176">
        <f>X121</f>
        <v>0.28571428571428559</v>
      </c>
      <c r="AB41" s="176">
        <f t="shared" si="32"/>
        <v>1.7</v>
      </c>
      <c r="AC41" s="182">
        <f t="shared" si="33"/>
        <v>1.4444444444444444</v>
      </c>
      <c r="AD41" s="176">
        <f t="shared" si="34"/>
        <v>1.2857142857142856</v>
      </c>
      <c r="AE41" s="176">
        <f t="shared" si="35"/>
        <v>2.4555555555555557</v>
      </c>
      <c r="AF41" s="176">
        <f t="shared" si="36"/>
        <v>1.857142857142857</v>
      </c>
      <c r="AG41" s="176">
        <f t="shared" si="37"/>
        <v>2.1857142857142855</v>
      </c>
      <c r="AH41" s="176">
        <f t="shared" si="38"/>
        <v>3.157142857142857</v>
      </c>
      <c r="AI41" s="176">
        <f t="shared" si="39"/>
        <v>7.0857142857142854</v>
      </c>
      <c r="AJ41" s="185" t="str">
        <f t="shared" si="40"/>
        <v>Phil Miller</v>
      </c>
      <c r="AK41" s="1">
        <f t="shared" si="41"/>
        <v>7</v>
      </c>
    </row>
    <row r="42" spans="2:37">
      <c r="B42" s="177"/>
      <c r="C42" s="177" t="str">
        <f>Picks!E42</f>
        <v>Netherlands</v>
      </c>
      <c r="D42" s="178">
        <f>Picks!F42</f>
        <v>1</v>
      </c>
      <c r="E42" s="178">
        <f>Picks!G42</f>
        <v>1.6153846153846154</v>
      </c>
      <c r="F42" s="177">
        <f>IF(C42="","",INDEX(Odds!K:K,MATCH(C42,Odds!G:G,0)))</f>
        <v>1</v>
      </c>
      <c r="G42" s="177">
        <f>IF(C42="","",Picks!P42)</f>
        <v>1</v>
      </c>
      <c r="H42" s="178">
        <f t="shared" si="42"/>
        <v>0.61538461538461542</v>
      </c>
      <c r="I42" s="184" t="str">
        <f t="shared" si="23"/>
        <v>Rob England</v>
      </c>
      <c r="J42" s="176">
        <f>H122</f>
        <v>0</v>
      </c>
      <c r="K42" s="176">
        <f>H123</f>
        <v>0.36363636363636376</v>
      </c>
      <c r="L42" s="176">
        <f>H124</f>
        <v>0</v>
      </c>
      <c r="M42" s="176">
        <f t="shared" si="24"/>
        <v>0</v>
      </c>
      <c r="N42" s="176">
        <f t="shared" si="25"/>
        <v>1.3636363636363638</v>
      </c>
      <c r="O42" s="176">
        <f t="shared" si="26"/>
        <v>0</v>
      </c>
      <c r="P42" s="176">
        <f t="shared" si="27"/>
        <v>0</v>
      </c>
      <c r="Q42" s="176">
        <f t="shared" si="28"/>
        <v>0</v>
      </c>
      <c r="R42" s="176">
        <f t="shared" si="29"/>
        <v>0</v>
      </c>
      <c r="S42" s="176">
        <f t="shared" si="30"/>
        <v>0</v>
      </c>
      <c r="T42" s="176">
        <f t="shared" si="31"/>
        <v>-5.6363636363636367</v>
      </c>
      <c r="U42" s="145">
        <f>SUM(G122:G124)</f>
        <v>1</v>
      </c>
      <c r="V42" s="118" t="s">
        <v>287</v>
      </c>
      <c r="W42" s="145">
        <f>SUM(F122:F124)</f>
        <v>3</v>
      </c>
      <c r="X42" s="178">
        <f t="shared" si="43"/>
        <v>0.61538461538461542</v>
      </c>
      <c r="Y42" s="176">
        <f>X122</f>
        <v>0.61538461538461542</v>
      </c>
      <c r="Z42" s="176">
        <f>X123</f>
        <v>0.36363636363636376</v>
      </c>
      <c r="AA42" s="176">
        <f>X124</f>
        <v>0.8</v>
      </c>
      <c r="AB42" s="176">
        <f t="shared" si="32"/>
        <v>1.6153846153846154</v>
      </c>
      <c r="AC42" s="182">
        <f t="shared" si="33"/>
        <v>1.3636363636363638</v>
      </c>
      <c r="AD42" s="176">
        <f t="shared" si="34"/>
        <v>1.8</v>
      </c>
      <c r="AE42" s="176">
        <f t="shared" si="35"/>
        <v>2.2027972027972029</v>
      </c>
      <c r="AF42" s="176">
        <f t="shared" si="36"/>
        <v>2.454545454545455</v>
      </c>
      <c r="AG42" s="176">
        <f t="shared" si="37"/>
        <v>2.907692307692308</v>
      </c>
      <c r="AH42" s="176">
        <f t="shared" si="38"/>
        <v>3.9650349650349654</v>
      </c>
      <c r="AI42" s="176">
        <f t="shared" si="39"/>
        <v>9.3090909090909122</v>
      </c>
      <c r="AJ42" s="185" t="str">
        <f t="shared" si="40"/>
        <v>Rob England</v>
      </c>
      <c r="AK42" s="1">
        <f t="shared" si="41"/>
        <v>7</v>
      </c>
    </row>
    <row r="43" spans="2:37" ht="13.15" thickBot="1">
      <c r="B43" s="179"/>
      <c r="C43" s="179" t="str">
        <f>Picks!E43</f>
        <v>Austria</v>
      </c>
      <c r="D43" s="180">
        <f>Picks!F43</f>
        <v>1</v>
      </c>
      <c r="E43" s="180">
        <f>Picks!G43</f>
        <v>1.5</v>
      </c>
      <c r="F43" s="179">
        <f>IF(C43="","",INDEX(Odds!K:K,MATCH(C43,Odds!G:G,0)))</f>
        <v>1</v>
      </c>
      <c r="G43" s="179">
        <f>IF(C43="","",Picks!P43)</f>
        <v>1</v>
      </c>
      <c r="H43" s="180">
        <f t="shared" si="42"/>
        <v>0.5</v>
      </c>
      <c r="I43" s="184" t="str">
        <f t="shared" si="23"/>
        <v>Simon Greenhalgh</v>
      </c>
      <c r="J43" s="176">
        <f>H125</f>
        <v>0</v>
      </c>
      <c r="K43" s="176">
        <f>H126</f>
        <v>0.5</v>
      </c>
      <c r="L43" s="176">
        <f>H127</f>
        <v>0.5</v>
      </c>
      <c r="M43" s="176">
        <f t="shared" si="24"/>
        <v>0</v>
      </c>
      <c r="N43" s="176">
        <f t="shared" si="25"/>
        <v>1.5</v>
      </c>
      <c r="O43" s="176">
        <f t="shared" si="26"/>
        <v>1.5</v>
      </c>
      <c r="P43" s="176">
        <f t="shared" si="27"/>
        <v>0</v>
      </c>
      <c r="Q43" s="176">
        <f t="shared" si="28"/>
        <v>2.25</v>
      </c>
      <c r="R43" s="176">
        <f t="shared" si="29"/>
        <v>0</v>
      </c>
      <c r="S43" s="176">
        <f t="shared" si="30"/>
        <v>0</v>
      </c>
      <c r="T43" s="176">
        <f t="shared" si="31"/>
        <v>-1.75</v>
      </c>
      <c r="U43" s="145">
        <f>SUM(G125:G127)</f>
        <v>2</v>
      </c>
      <c r="V43" s="115" t="s">
        <v>289</v>
      </c>
      <c r="W43" s="145">
        <f>SUM(F125:F127)</f>
        <v>3</v>
      </c>
      <c r="X43" s="178">
        <f t="shared" si="43"/>
        <v>0.5</v>
      </c>
      <c r="Y43" s="176">
        <f>X125</f>
        <v>0.61538461538461542</v>
      </c>
      <c r="Z43" s="176">
        <f>X126</f>
        <v>0.5</v>
      </c>
      <c r="AA43" s="176">
        <f>X127</f>
        <v>0.5</v>
      </c>
      <c r="AB43" s="176">
        <f t="shared" si="32"/>
        <v>1.6153846153846154</v>
      </c>
      <c r="AC43" s="182">
        <f t="shared" si="33"/>
        <v>1.5</v>
      </c>
      <c r="AD43" s="176">
        <f t="shared" si="34"/>
        <v>1.5</v>
      </c>
      <c r="AE43" s="176">
        <f t="shared" si="35"/>
        <v>2.4230769230769234</v>
      </c>
      <c r="AF43" s="176">
        <f t="shared" si="36"/>
        <v>2.25</v>
      </c>
      <c r="AG43" s="176">
        <f t="shared" si="37"/>
        <v>2.4230769230769234</v>
      </c>
      <c r="AH43" s="176">
        <f t="shared" si="38"/>
        <v>3.634615384615385</v>
      </c>
      <c r="AI43" s="176">
        <f t="shared" si="39"/>
        <v>8.3461538461538467</v>
      </c>
      <c r="AJ43" s="185" t="str">
        <f t="shared" si="40"/>
        <v>Simon Greenhalgh</v>
      </c>
      <c r="AK43" s="1">
        <f t="shared" si="41"/>
        <v>7</v>
      </c>
    </row>
    <row r="44" spans="2:37">
      <c r="B44" s="178" t="str">
        <f>$V16</f>
        <v>Dave Bell</v>
      </c>
      <c r="C44" s="177" t="str">
        <f>Picks!E44</f>
        <v>Belgium</v>
      </c>
      <c r="D44" s="178">
        <f>Picks!F44</f>
        <v>6</v>
      </c>
      <c r="E44" s="178">
        <f>Picks!G44</f>
        <v>3.1</v>
      </c>
      <c r="F44" s="177">
        <f>IF(C44="","",INDEX(Odds!K:K,MATCH(C44,Odds!G:G,0)))</f>
        <v>1</v>
      </c>
      <c r="G44" s="177">
        <f>IF(C44="","",Picks!P44)</f>
        <v>1</v>
      </c>
      <c r="H44" s="178">
        <f t="shared" si="42"/>
        <v>2.1</v>
      </c>
      <c r="I44" s="184" t="str">
        <f t="shared" si="23"/>
        <v>Simon Kimble</v>
      </c>
      <c r="J44" s="176">
        <f>H128</f>
        <v>0</v>
      </c>
      <c r="K44" s="176">
        <f>H129</f>
        <v>0</v>
      </c>
      <c r="L44" s="176">
        <f>H130</f>
        <v>0</v>
      </c>
      <c r="M44" s="176">
        <f t="shared" si="24"/>
        <v>0</v>
      </c>
      <c r="N44" s="176">
        <f t="shared" si="25"/>
        <v>0</v>
      </c>
      <c r="O44" s="176">
        <f t="shared" si="26"/>
        <v>0</v>
      </c>
      <c r="P44" s="176">
        <f t="shared" si="27"/>
        <v>0</v>
      </c>
      <c r="Q44" s="176">
        <f t="shared" si="28"/>
        <v>0</v>
      </c>
      <c r="R44" s="176">
        <f t="shared" si="29"/>
        <v>0</v>
      </c>
      <c r="S44" s="176">
        <f t="shared" si="30"/>
        <v>0</v>
      </c>
      <c r="T44" s="176">
        <f t="shared" si="31"/>
        <v>-7</v>
      </c>
      <c r="U44" s="145">
        <f>SUM(G128:G130)</f>
        <v>0</v>
      </c>
      <c r="V44" s="115" t="s">
        <v>541</v>
      </c>
      <c r="W44" s="145">
        <f>SUM(F128:F130)</f>
        <v>3</v>
      </c>
      <c r="X44" s="178">
        <f t="shared" si="43"/>
        <v>2.1</v>
      </c>
      <c r="Y44" s="176">
        <f>X128</f>
        <v>1.4500000000000002</v>
      </c>
      <c r="Z44" s="176">
        <f>X129</f>
        <v>2.6</v>
      </c>
      <c r="AA44" s="176">
        <f>X130</f>
        <v>1.7000000000000002</v>
      </c>
      <c r="AB44" s="176">
        <f t="shared" si="32"/>
        <v>2.4500000000000002</v>
      </c>
      <c r="AC44" s="182">
        <f t="shared" si="33"/>
        <v>3.6</v>
      </c>
      <c r="AD44" s="176">
        <f t="shared" si="34"/>
        <v>2.7</v>
      </c>
      <c r="AE44" s="176">
        <f t="shared" si="35"/>
        <v>8.82</v>
      </c>
      <c r="AF44" s="176">
        <f t="shared" si="36"/>
        <v>9.7200000000000006</v>
      </c>
      <c r="AG44" s="176">
        <f t="shared" si="37"/>
        <v>6.6150000000000011</v>
      </c>
      <c r="AH44" s="176">
        <f t="shared" si="38"/>
        <v>23.814</v>
      </c>
      <c r="AI44" s="176">
        <f t="shared" si="39"/>
        <v>50.719000000000001</v>
      </c>
      <c r="AJ44" s="185" t="str">
        <f t="shared" si="40"/>
        <v>Simon Kimble</v>
      </c>
      <c r="AK44" s="1">
        <f t="shared" si="41"/>
        <v>7</v>
      </c>
    </row>
    <row r="45" spans="2:37">
      <c r="B45" s="177"/>
      <c r="C45" s="177" t="str">
        <f>Picks!E45</f>
        <v>Portugal</v>
      </c>
      <c r="D45" s="178">
        <f>Picks!F45</f>
        <v>1</v>
      </c>
      <c r="E45" s="178">
        <f>Picks!G45</f>
        <v>2.5</v>
      </c>
      <c r="F45" s="177">
        <f>IF(C45="","",INDEX(Odds!K:K,MATCH(C45,Odds!G:G,0)))</f>
        <v>1</v>
      </c>
      <c r="G45" s="177">
        <f>IF(C45="","",Picks!P45)</f>
        <v>1</v>
      </c>
      <c r="H45" s="178">
        <f t="shared" si="42"/>
        <v>1.5</v>
      </c>
      <c r="I45" s="184" t="str">
        <f t="shared" si="23"/>
        <v>Simon Richardson</v>
      </c>
      <c r="J45" s="176">
        <f>H131</f>
        <v>1.2000000000000002</v>
      </c>
      <c r="K45" s="176">
        <f>H132</f>
        <v>0</v>
      </c>
      <c r="L45" s="176">
        <f>H133</f>
        <v>0</v>
      </c>
      <c r="M45" s="176">
        <f t="shared" si="24"/>
        <v>2.2000000000000002</v>
      </c>
      <c r="N45" s="176">
        <f t="shared" si="25"/>
        <v>0</v>
      </c>
      <c r="O45" s="176">
        <f t="shared" si="26"/>
        <v>0</v>
      </c>
      <c r="P45" s="176">
        <f t="shared" si="27"/>
        <v>0</v>
      </c>
      <c r="Q45" s="176">
        <f t="shared" si="28"/>
        <v>0</v>
      </c>
      <c r="R45" s="176">
        <f t="shared" si="29"/>
        <v>0</v>
      </c>
      <c r="S45" s="176">
        <f t="shared" si="30"/>
        <v>0</v>
      </c>
      <c r="T45" s="176">
        <f t="shared" si="31"/>
        <v>-4.8</v>
      </c>
      <c r="U45" s="145">
        <f>SUM(G131:G133)</f>
        <v>1</v>
      </c>
      <c r="V45" s="115" t="s">
        <v>534</v>
      </c>
      <c r="W45" s="145">
        <f>SUM(F131:F133)</f>
        <v>3</v>
      </c>
      <c r="X45" s="178">
        <f t="shared" si="43"/>
        <v>1.5</v>
      </c>
      <c r="Y45" s="176">
        <f>X131</f>
        <v>1.2000000000000002</v>
      </c>
      <c r="Z45" s="176">
        <f>X132</f>
        <v>2.2000000000000002</v>
      </c>
      <c r="AA45" s="176">
        <f>X133</f>
        <v>0.75</v>
      </c>
      <c r="AB45" s="176">
        <f t="shared" si="32"/>
        <v>2.2000000000000002</v>
      </c>
      <c r="AC45" s="182">
        <f t="shared" si="33"/>
        <v>3.2</v>
      </c>
      <c r="AD45" s="176">
        <f t="shared" si="34"/>
        <v>1.75</v>
      </c>
      <c r="AE45" s="176">
        <f t="shared" si="35"/>
        <v>7.0400000000000009</v>
      </c>
      <c r="AF45" s="176">
        <f t="shared" si="36"/>
        <v>5.6000000000000005</v>
      </c>
      <c r="AG45" s="176">
        <f t="shared" si="37"/>
        <v>3.8500000000000005</v>
      </c>
      <c r="AH45" s="176">
        <f t="shared" si="38"/>
        <v>12.320000000000002</v>
      </c>
      <c r="AI45" s="176">
        <f t="shared" si="39"/>
        <v>28.960000000000008</v>
      </c>
      <c r="AJ45" s="185" t="str">
        <f t="shared" si="40"/>
        <v>Simon Richardson</v>
      </c>
      <c r="AK45" s="1">
        <f t="shared" si="41"/>
        <v>7</v>
      </c>
    </row>
    <row r="46" spans="2:37" ht="13.15" thickBot="1">
      <c r="B46" s="179"/>
      <c r="C46" s="179" t="str">
        <f>Picks!E46</f>
        <v>Serbia</v>
      </c>
      <c r="D46" s="180">
        <f>Picks!F46</f>
        <v>1</v>
      </c>
      <c r="E46" s="180">
        <f>Picks!G46</f>
        <v>5</v>
      </c>
      <c r="F46" s="179">
        <f>IF(C46="","",INDEX(Odds!K:K,MATCH(C46,Odds!G:G,0)))</f>
        <v>1</v>
      </c>
      <c r="G46" s="179">
        <f>IF(C46="","",Picks!P46)</f>
        <v>0</v>
      </c>
      <c r="H46" s="180">
        <f t="shared" si="42"/>
        <v>0</v>
      </c>
      <c r="I46" s="184" t="str">
        <f>V46</f>
        <v>Stephen Barr</v>
      </c>
      <c r="J46" s="176">
        <f>H134</f>
        <v>0.72727272727272729</v>
      </c>
      <c r="K46" s="176">
        <f>H135</f>
        <v>0</v>
      </c>
      <c r="L46" s="176">
        <f>H136</f>
        <v>0</v>
      </c>
      <c r="M46" s="176">
        <f t="shared" ref="M46" si="44">IF(J46=0,0,1)+J46</f>
        <v>1.7272727272727273</v>
      </c>
      <c r="N46" s="176">
        <f t="shared" ref="N46" si="45">IF(K46=0,0,1)+K46</f>
        <v>0</v>
      </c>
      <c r="O46" s="176">
        <f t="shared" ref="O46" si="46">IF(L46=0,0,1)+L46</f>
        <v>0</v>
      </c>
      <c r="P46" s="176">
        <f t="shared" ref="P46" si="47">IF(K46=0,0,(M46*K46)+M46)</f>
        <v>0</v>
      </c>
      <c r="Q46" s="176">
        <f t="shared" ref="Q46" si="48">IF(L46=0,0,(N46*L46)+N46)</f>
        <v>0</v>
      </c>
      <c r="R46" s="176">
        <f t="shared" ref="R46" si="49">IF(J46=0,0,(O46*J46)+O46)</f>
        <v>0</v>
      </c>
      <c r="S46" s="176">
        <f t="shared" ref="S46" si="50">IF(L46=0,0,(P46*L46)+P46)</f>
        <v>0</v>
      </c>
      <c r="T46" s="176">
        <f t="shared" ref="T46" si="51">SUM(M46:S46)-(IF(W46=1,A$2*1,0))-(IF(W46=2,A$2*3,0))-(IF(W46=3,A$2*7,0))</f>
        <v>-5.2727272727272725</v>
      </c>
      <c r="U46" s="145">
        <f>SUM(G134:G136)</f>
        <v>1</v>
      </c>
      <c r="V46" s="117" t="s">
        <v>267</v>
      </c>
      <c r="W46" s="145">
        <f>SUM(F134:F136)</f>
        <v>3</v>
      </c>
      <c r="X46" s="178">
        <f t="shared" si="43"/>
        <v>4</v>
      </c>
      <c r="Y46" s="176">
        <f>X134</f>
        <v>0.72727272727272729</v>
      </c>
      <c r="Z46" s="176">
        <f>X135</f>
        <v>0.61538461538461542</v>
      </c>
      <c r="AA46" s="176">
        <f>X136</f>
        <v>1.0499999999999998</v>
      </c>
      <c r="AB46" s="176">
        <f t="shared" ref="AB46" si="52">IF(Y46=0,0,1)+Y46</f>
        <v>1.7272727272727273</v>
      </c>
      <c r="AC46" s="182">
        <f t="shared" ref="AC46" si="53">IF(Z46=0,0,1)+Z46</f>
        <v>1.6153846153846154</v>
      </c>
      <c r="AD46" s="176">
        <f t="shared" ref="AD46" si="54">IF(AA46=0,0,1)+AA46</f>
        <v>2.0499999999999998</v>
      </c>
      <c r="AE46" s="176">
        <f t="shared" ref="AE46" si="55">IF(Z46=0,0,(AB46*Z46)+AB46)</f>
        <v>2.79020979020979</v>
      </c>
      <c r="AF46" s="176">
        <f t="shared" ref="AF46" si="56">IF(AA46=0,0,(AC46*AA46)+AC46)</f>
        <v>3.3115384615384613</v>
      </c>
      <c r="AG46" s="176">
        <f t="shared" ref="AG46" si="57">IF(Y46=0,0,(AD46*Y46)+AD46)</f>
        <v>3.5409090909090906</v>
      </c>
      <c r="AH46" s="176">
        <f t="shared" ref="AH46" si="58">IF(AA46=0,0,(AE46*AA46)+AE46)</f>
        <v>5.7199300699300686</v>
      </c>
      <c r="AI46" s="176">
        <f t="shared" ref="AI46" si="59">SUM(AB46:AH46)-AK46</f>
        <v>13.755244755244753</v>
      </c>
      <c r="AJ46" s="185" t="str">
        <f t="shared" si="40"/>
        <v>Stephen Barr</v>
      </c>
      <c r="AK46" s="1">
        <f t="shared" si="41"/>
        <v>7</v>
      </c>
    </row>
    <row r="47" spans="2:37">
      <c r="B47" s="178" t="str">
        <f>$V17</f>
        <v>David Dunn</v>
      </c>
      <c r="C47" s="177" t="str">
        <f>Picks!E47</f>
        <v>Croatia</v>
      </c>
      <c r="D47" s="178">
        <f>Picks!F47</f>
        <v>7</v>
      </c>
      <c r="E47" s="178">
        <f>Picks!G47</f>
        <v>2.15</v>
      </c>
      <c r="F47" s="177">
        <f>IF(C47="","",INDEX(Odds!K:K,MATCH(C47,Odds!G:G,0)))</f>
        <v>1</v>
      </c>
      <c r="G47" s="177">
        <f>IF(C47="","",Picks!P47)</f>
        <v>1</v>
      </c>
      <c r="H47" s="178">
        <f t="shared" si="42"/>
        <v>1.1499999999999999</v>
      </c>
      <c r="I47" s="184" t="str">
        <f>V47</f>
        <v>Steve Carter</v>
      </c>
      <c r="J47" s="176">
        <f>H137</f>
        <v>1.1499999999999999</v>
      </c>
      <c r="K47" s="176">
        <f>H138</f>
        <v>1.4</v>
      </c>
      <c r="L47" s="176">
        <f>H139</f>
        <v>0</v>
      </c>
      <c r="M47" s="176">
        <f t="shared" ref="M47" si="60">IF(J47=0,0,1)+J47</f>
        <v>2.15</v>
      </c>
      <c r="N47" s="176">
        <f t="shared" ref="N47" si="61">IF(K47=0,0,1)+K47</f>
        <v>2.4</v>
      </c>
      <c r="O47" s="176">
        <f t="shared" ref="O47" si="62">IF(L47=0,0,1)+L47</f>
        <v>0</v>
      </c>
      <c r="P47" s="176">
        <f t="shared" ref="P47" si="63">IF(K47=0,0,(M47*K47)+M47)</f>
        <v>5.16</v>
      </c>
      <c r="Q47" s="176">
        <f t="shared" ref="Q47" si="64">IF(L47=0,0,(N47*L47)+N47)</f>
        <v>0</v>
      </c>
      <c r="R47" s="176">
        <f t="shared" ref="R47" si="65">IF(J47=0,0,(O47*J47)+O47)</f>
        <v>0</v>
      </c>
      <c r="S47" s="176">
        <f t="shared" ref="S47" si="66">IF(L47=0,0,(P47*L47)+P47)</f>
        <v>0</v>
      </c>
      <c r="T47" s="176">
        <f t="shared" ref="T47" si="67">SUM(M47:S47)-(IF(W47=1,A$2*1,0))-(IF(W47=2,A$2*3,0))-(IF(W47=3,A$2*7,0))</f>
        <v>2.7100000000000009</v>
      </c>
      <c r="U47" s="145">
        <f>SUM(G137:G139)</f>
        <v>2</v>
      </c>
      <c r="V47" s="117" t="s">
        <v>269</v>
      </c>
      <c r="W47" s="145">
        <f>SUM(F137:F139)</f>
        <v>3</v>
      </c>
      <c r="X47" s="178">
        <f t="shared" si="43"/>
        <v>1.1499999999999999</v>
      </c>
      <c r="Y47" s="176">
        <f>X137</f>
        <v>1.1499999999999999</v>
      </c>
      <c r="Z47" s="176">
        <f>X138</f>
        <v>1.4</v>
      </c>
      <c r="AA47" s="176">
        <f>X139</f>
        <v>2.5</v>
      </c>
      <c r="AB47" s="176">
        <f t="shared" ref="AB47" si="68">IF(Y47=0,0,1)+Y47</f>
        <v>2.15</v>
      </c>
      <c r="AC47" s="182">
        <f t="shared" ref="AC47" si="69">IF(Z47=0,0,1)+Z47</f>
        <v>2.4</v>
      </c>
      <c r="AD47" s="176">
        <f t="shared" ref="AD47" si="70">IF(AA47=0,0,1)+AA47</f>
        <v>3.5</v>
      </c>
      <c r="AE47" s="176">
        <f t="shared" ref="AE47" si="71">IF(Z47=0,0,(AB47*Z47)+AB47)</f>
        <v>5.16</v>
      </c>
      <c r="AF47" s="176">
        <f t="shared" ref="AF47" si="72">IF(AA47=0,0,(AC47*AA47)+AC47)</f>
        <v>8.4</v>
      </c>
      <c r="AG47" s="176">
        <f t="shared" ref="AG47" si="73">IF(Y47=0,0,(AD47*Y47)+AD47)</f>
        <v>7.5249999999999995</v>
      </c>
      <c r="AH47" s="176">
        <f t="shared" ref="AH47" si="74">IF(AA47=0,0,(AE47*AA47)+AE47)</f>
        <v>18.060000000000002</v>
      </c>
      <c r="AI47" s="176">
        <f t="shared" ref="AI47" si="75">SUM(AB47:AH47)-AK47</f>
        <v>40.195</v>
      </c>
      <c r="AJ47" s="185" t="str">
        <f t="shared" si="40"/>
        <v>Steve Carter</v>
      </c>
      <c r="AK47" s="1">
        <f t="shared" ref="AK47" si="76">IF(W47=3,7,IF(W47=2,3,1))</f>
        <v>7</v>
      </c>
    </row>
    <row r="48" spans="2:37">
      <c r="B48" s="177"/>
      <c r="C48" s="177" t="str">
        <f>Picks!E48</f>
        <v>England</v>
      </c>
      <c r="D48" s="178">
        <f>Picks!F48</f>
        <v>7</v>
      </c>
      <c r="E48" s="178">
        <f>Picks!G48</f>
        <v>2.8</v>
      </c>
      <c r="F48" s="177">
        <f>IF(C48="","",INDEX(Odds!K:K,MATCH(C48,Odds!G:G,0)))</f>
        <v>1</v>
      </c>
      <c r="G48" s="177">
        <f>IF(C48="","",Picks!P48)</f>
        <v>0</v>
      </c>
      <c r="H48" s="178">
        <f t="shared" si="42"/>
        <v>0</v>
      </c>
      <c r="I48" s="184" t="str">
        <f t="shared" ref="I48:I51" si="77">V48</f>
        <v>Steve Waterhouse</v>
      </c>
      <c r="J48" s="176">
        <f>H140</f>
        <v>0</v>
      </c>
      <c r="K48" s="176">
        <f>H141</f>
        <v>0</v>
      </c>
      <c r="L48" s="176">
        <f>H142</f>
        <v>0.36363636363636376</v>
      </c>
      <c r="M48" s="176">
        <f t="shared" ref="M48:M51" si="78">IF(J48=0,0,1)+J48</f>
        <v>0</v>
      </c>
      <c r="N48" s="176">
        <f t="shared" ref="N48:N51" si="79">IF(K48=0,0,1)+K48</f>
        <v>0</v>
      </c>
      <c r="O48" s="176">
        <f t="shared" ref="O48:O51" si="80">IF(L48=0,0,1)+L48</f>
        <v>1.3636363636363638</v>
      </c>
      <c r="P48" s="176">
        <f t="shared" ref="P48:P51" si="81">IF(K48=0,0,(M48*K48)+M48)</f>
        <v>0</v>
      </c>
      <c r="Q48" s="176">
        <f t="shared" ref="Q48:Q51" si="82">IF(L48=0,0,(N48*L48)+N48)</f>
        <v>0</v>
      </c>
      <c r="R48" s="176">
        <f t="shared" ref="R48:R51" si="83">IF(J48=0,0,(O48*J48)+O48)</f>
        <v>0</v>
      </c>
      <c r="S48" s="176">
        <f t="shared" ref="S48:S51" si="84">IF(L48=0,0,(P48*L48)+P48)</f>
        <v>0</v>
      </c>
      <c r="T48" s="176">
        <f t="shared" ref="T48:T51" si="85">SUM(M48:S48)-(IF(W48=1,A$2*1,0))-(IF(W48=2,A$2*3,0))-(IF(W48=3,A$2*7,0))</f>
        <v>-5.6363636363636367</v>
      </c>
      <c r="U48" s="145">
        <f>SUM(G140:G142)</f>
        <v>1</v>
      </c>
      <c r="V48" s="118" t="s">
        <v>512</v>
      </c>
      <c r="W48" s="145">
        <f>SUM(F140:F142)</f>
        <v>3</v>
      </c>
      <c r="X48" s="178">
        <f t="shared" si="43"/>
        <v>1.7999999999999998</v>
      </c>
      <c r="Y48" s="176">
        <f>X140</f>
        <v>0.8</v>
      </c>
      <c r="Z48" s="176">
        <f>X141</f>
        <v>0.8</v>
      </c>
      <c r="AA48" s="176">
        <f>X142</f>
        <v>0.36363636363636376</v>
      </c>
      <c r="AB48" s="176">
        <f t="shared" ref="AB48:AB51" si="86">IF(Y48=0,0,1)+Y48</f>
        <v>1.8</v>
      </c>
      <c r="AC48" s="182">
        <f t="shared" ref="AC48:AC51" si="87">IF(Z48=0,0,1)+Z48</f>
        <v>1.8</v>
      </c>
      <c r="AD48" s="176">
        <f t="shared" ref="AD48:AD51" si="88">IF(AA48=0,0,1)+AA48</f>
        <v>1.3636363636363638</v>
      </c>
      <c r="AE48" s="176">
        <f t="shared" ref="AE48:AE51" si="89">IF(Z48=0,0,(AB48*Z48)+AB48)</f>
        <v>3.24</v>
      </c>
      <c r="AF48" s="176">
        <f t="shared" ref="AF48:AF51" si="90">IF(AA48=0,0,(AC48*AA48)+AC48)</f>
        <v>2.454545454545455</v>
      </c>
      <c r="AG48" s="176">
        <f t="shared" ref="AG48:AG51" si="91">IF(Y48=0,0,(AD48*Y48)+AD48)</f>
        <v>2.454545454545455</v>
      </c>
      <c r="AH48" s="176">
        <f t="shared" ref="AH48:AH51" si="92">IF(AA48=0,0,(AE48*AA48)+AE48)</f>
        <v>4.4181818181818189</v>
      </c>
      <c r="AI48" s="176">
        <f t="shared" ref="AI48:AI51" si="93">SUM(AB48:AH48)-AK48</f>
        <v>10.530909090909091</v>
      </c>
      <c r="AJ48" s="185" t="str">
        <f t="shared" si="40"/>
        <v>Steve Waterhouse</v>
      </c>
      <c r="AK48" s="1">
        <f t="shared" ref="AK48:AK51" si="94">IF(W48=3,7,IF(W48=2,3,1))</f>
        <v>7</v>
      </c>
    </row>
    <row r="49" spans="2:37" ht="13.15" thickBot="1">
      <c r="B49" s="179"/>
      <c r="C49" s="179" t="str">
        <f>Picks!E49</f>
        <v>Switzerland</v>
      </c>
      <c r="D49" s="180">
        <f>Picks!F49</f>
        <v>7</v>
      </c>
      <c r="E49" s="180">
        <f>Picks!G49</f>
        <v>1.3636363636363638</v>
      </c>
      <c r="F49" s="179">
        <f>IF(C49="","",INDEX(Odds!K:K,MATCH(C49,Odds!G:G,0)))</f>
        <v>1</v>
      </c>
      <c r="G49" s="179">
        <f>IF(C49="","",Picks!P49)</f>
        <v>1</v>
      </c>
      <c r="H49" s="180">
        <f t="shared" si="42"/>
        <v>0.36363636363636376</v>
      </c>
      <c r="I49" s="184" t="str">
        <f t="shared" si="77"/>
        <v>Steven Naylor</v>
      </c>
      <c r="J49" s="176">
        <f>H143</f>
        <v>0</v>
      </c>
      <c r="K49" s="176">
        <f>H144</f>
        <v>0.85000000000000009</v>
      </c>
      <c r="L49" s="176">
        <f>H145</f>
        <v>0.5</v>
      </c>
      <c r="M49" s="176">
        <f t="shared" si="78"/>
        <v>0</v>
      </c>
      <c r="N49" s="176">
        <f t="shared" si="79"/>
        <v>1.85</v>
      </c>
      <c r="O49" s="176">
        <f t="shared" si="80"/>
        <v>1.5</v>
      </c>
      <c r="P49" s="176">
        <f t="shared" si="81"/>
        <v>0</v>
      </c>
      <c r="Q49" s="176">
        <f t="shared" si="82"/>
        <v>2.7750000000000004</v>
      </c>
      <c r="R49" s="176">
        <f t="shared" si="83"/>
        <v>0</v>
      </c>
      <c r="S49" s="176">
        <f t="shared" si="84"/>
        <v>0</v>
      </c>
      <c r="T49" s="176">
        <f t="shared" si="85"/>
        <v>-0.875</v>
      </c>
      <c r="U49" s="145">
        <f>SUM(G143:G145)</f>
        <v>2</v>
      </c>
      <c r="V49" s="118" t="s">
        <v>536</v>
      </c>
      <c r="W49" s="145">
        <f>SUM(F143:F145)</f>
        <v>3</v>
      </c>
      <c r="X49" s="178">
        <f t="shared" si="43"/>
        <v>0.36363636363636376</v>
      </c>
      <c r="Y49" s="176">
        <f>X143</f>
        <v>0.8</v>
      </c>
      <c r="Z49" s="176">
        <f>X144</f>
        <v>0.85000000000000009</v>
      </c>
      <c r="AA49" s="176">
        <f>X145</f>
        <v>0.5</v>
      </c>
      <c r="AB49" s="176">
        <f t="shared" si="86"/>
        <v>1.8</v>
      </c>
      <c r="AC49" s="182">
        <f t="shared" si="87"/>
        <v>1.85</v>
      </c>
      <c r="AD49" s="176">
        <f t="shared" si="88"/>
        <v>1.5</v>
      </c>
      <c r="AE49" s="176">
        <f t="shared" si="89"/>
        <v>3.33</v>
      </c>
      <c r="AF49" s="176">
        <f t="shared" si="90"/>
        <v>2.7750000000000004</v>
      </c>
      <c r="AG49" s="176">
        <f t="shared" si="91"/>
        <v>2.7</v>
      </c>
      <c r="AH49" s="176">
        <f t="shared" si="92"/>
        <v>4.9950000000000001</v>
      </c>
      <c r="AI49" s="176">
        <f t="shared" si="93"/>
        <v>11.950000000000003</v>
      </c>
      <c r="AJ49" s="185" t="str">
        <f t="shared" si="40"/>
        <v>Steven Naylor</v>
      </c>
      <c r="AK49" s="1">
        <f t="shared" si="94"/>
        <v>7</v>
      </c>
    </row>
    <row r="50" spans="2:37">
      <c r="B50" s="178" t="str">
        <f>$V18</f>
        <v>Dot Bow</v>
      </c>
      <c r="C50" s="177" t="str">
        <f>Picks!E50</f>
        <v>Exeter</v>
      </c>
      <c r="D50" s="178">
        <f>Picks!F50</f>
        <v>7</v>
      </c>
      <c r="E50" s="178">
        <f>Picks!G50</f>
        <v>4</v>
      </c>
      <c r="F50" s="177">
        <f>IF(C50="","",INDEX(Odds!K:K,MATCH(C50,Odds!G:G,0)))</f>
        <v>1</v>
      </c>
      <c r="G50" s="177">
        <f>IF(C50="","",Picks!P50)</f>
        <v>0</v>
      </c>
      <c r="H50" s="178">
        <f t="shared" si="42"/>
        <v>0</v>
      </c>
      <c r="I50" s="184" t="str">
        <f t="shared" si="77"/>
        <v>Tom Robinson</v>
      </c>
      <c r="J50" s="176">
        <f>H146</f>
        <v>0</v>
      </c>
      <c r="K50" s="176">
        <f>H147</f>
        <v>2.1</v>
      </c>
      <c r="L50" s="176">
        <f>H148</f>
        <v>0.5</v>
      </c>
      <c r="M50" s="176">
        <f t="shared" si="78"/>
        <v>0</v>
      </c>
      <c r="N50" s="176">
        <f t="shared" si="79"/>
        <v>3.1</v>
      </c>
      <c r="O50" s="176">
        <f t="shared" si="80"/>
        <v>1.5</v>
      </c>
      <c r="P50" s="176">
        <f t="shared" si="81"/>
        <v>0</v>
      </c>
      <c r="Q50" s="176">
        <f t="shared" si="82"/>
        <v>4.6500000000000004</v>
      </c>
      <c r="R50" s="176">
        <f t="shared" si="83"/>
        <v>0</v>
      </c>
      <c r="S50" s="176">
        <f t="shared" si="84"/>
        <v>0</v>
      </c>
      <c r="T50" s="176">
        <f t="shared" si="85"/>
        <v>2.25</v>
      </c>
      <c r="U50" s="145">
        <f>SUM(G146:G148)</f>
        <v>2</v>
      </c>
      <c r="V50" s="118" t="s">
        <v>304</v>
      </c>
      <c r="W50" s="145">
        <f>SUM(F146:F148)</f>
        <v>3</v>
      </c>
      <c r="X50" s="178">
        <f t="shared" si="43"/>
        <v>3</v>
      </c>
      <c r="Y50" s="176">
        <f>X146</f>
        <v>0.85000000000000009</v>
      </c>
      <c r="Z50" s="176">
        <f>X147</f>
        <v>2.1</v>
      </c>
      <c r="AA50" s="176">
        <f>X148</f>
        <v>0.5</v>
      </c>
      <c r="AB50" s="176">
        <f t="shared" si="86"/>
        <v>1.85</v>
      </c>
      <c r="AC50" s="182">
        <f t="shared" si="87"/>
        <v>3.1</v>
      </c>
      <c r="AD50" s="176">
        <f t="shared" si="88"/>
        <v>1.5</v>
      </c>
      <c r="AE50" s="176">
        <f t="shared" si="89"/>
        <v>5.7350000000000003</v>
      </c>
      <c r="AF50" s="176">
        <f t="shared" si="90"/>
        <v>4.6500000000000004</v>
      </c>
      <c r="AG50" s="176">
        <f t="shared" si="91"/>
        <v>2.7750000000000004</v>
      </c>
      <c r="AH50" s="176">
        <f t="shared" si="92"/>
        <v>8.6025000000000009</v>
      </c>
      <c r="AI50" s="176">
        <f t="shared" si="93"/>
        <v>21.212499999999999</v>
      </c>
      <c r="AJ50" s="185" t="str">
        <f t="shared" si="40"/>
        <v>Tom Robinson</v>
      </c>
      <c r="AK50" s="1">
        <f t="shared" si="94"/>
        <v>7</v>
      </c>
    </row>
    <row r="51" spans="2:37">
      <c r="B51" s="177"/>
      <c r="C51" s="177" t="str">
        <f>Picks!E51</f>
        <v>Salford</v>
      </c>
      <c r="D51" s="178">
        <f>Picks!F51</f>
        <v>7</v>
      </c>
      <c r="E51" s="178">
        <f>Picks!G51</f>
        <v>1.85</v>
      </c>
      <c r="F51" s="177">
        <f>IF(C51="","",INDEX(Odds!K:K,MATCH(C51,Odds!G:G,0)))</f>
        <v>1</v>
      </c>
      <c r="G51" s="177">
        <f>IF(C51="","",Picks!P51)</f>
        <v>1</v>
      </c>
      <c r="H51" s="178">
        <f t="shared" si="42"/>
        <v>0.85000000000000009</v>
      </c>
      <c r="I51" s="184" t="str">
        <f t="shared" si="77"/>
        <v>Vinny Topping</v>
      </c>
      <c r="J51" s="176">
        <f>H149</f>
        <v>0.72727272727272729</v>
      </c>
      <c r="K51" s="176">
        <f>H150</f>
        <v>0</v>
      </c>
      <c r="L51" s="176">
        <f>H151</f>
        <v>0</v>
      </c>
      <c r="M51" s="176">
        <f t="shared" si="78"/>
        <v>1.7272727272727273</v>
      </c>
      <c r="N51" s="176">
        <f t="shared" si="79"/>
        <v>0</v>
      </c>
      <c r="O51" s="176">
        <f t="shared" si="80"/>
        <v>0</v>
      </c>
      <c r="P51" s="176">
        <f t="shared" si="81"/>
        <v>0</v>
      </c>
      <c r="Q51" s="176">
        <f t="shared" si="82"/>
        <v>0</v>
      </c>
      <c r="R51" s="176">
        <f t="shared" si="83"/>
        <v>0</v>
      </c>
      <c r="S51" s="176">
        <f t="shared" si="84"/>
        <v>0</v>
      </c>
      <c r="T51" s="176">
        <f t="shared" si="85"/>
        <v>-5.2727272727272725</v>
      </c>
      <c r="U51" s="145">
        <f>SUM(G149:G151)</f>
        <v>1</v>
      </c>
      <c r="V51" s="118" t="s">
        <v>283</v>
      </c>
      <c r="W51" s="145">
        <f>SUM(F149:F151)</f>
        <v>3</v>
      </c>
      <c r="X51" s="178">
        <f t="shared" si="43"/>
        <v>0.85000000000000009</v>
      </c>
      <c r="Y51" s="176">
        <f>X149</f>
        <v>0.72727272727272729</v>
      </c>
      <c r="Z51" s="176">
        <f>X150</f>
        <v>0.85000000000000009</v>
      </c>
      <c r="AA51" s="176">
        <f>X151</f>
        <v>1.0499999999999998</v>
      </c>
      <c r="AB51" s="176">
        <f t="shared" si="86"/>
        <v>1.7272727272727273</v>
      </c>
      <c r="AC51" s="182">
        <f t="shared" si="87"/>
        <v>1.85</v>
      </c>
      <c r="AD51" s="176">
        <f t="shared" si="88"/>
        <v>2.0499999999999998</v>
      </c>
      <c r="AE51" s="176">
        <f t="shared" si="89"/>
        <v>3.1954545454545453</v>
      </c>
      <c r="AF51" s="176">
        <f t="shared" si="90"/>
        <v>3.7924999999999995</v>
      </c>
      <c r="AG51" s="176">
        <f t="shared" si="91"/>
        <v>3.5409090909090906</v>
      </c>
      <c r="AH51" s="176">
        <f t="shared" si="92"/>
        <v>6.5506818181818174</v>
      </c>
      <c r="AI51" s="176">
        <f t="shared" si="93"/>
        <v>15.706818181818178</v>
      </c>
      <c r="AJ51" s="185" t="str">
        <f t="shared" si="40"/>
        <v>Vinny Topping</v>
      </c>
      <c r="AK51" s="1">
        <f t="shared" si="94"/>
        <v>7</v>
      </c>
    </row>
    <row r="52" spans="2:37" ht="13.15" thickBot="1">
      <c r="B52" s="179"/>
      <c r="C52" s="179" t="str">
        <f>Picks!E52</f>
        <v>Scotland</v>
      </c>
      <c r="D52" s="180">
        <f>Picks!F52</f>
        <v>7</v>
      </c>
      <c r="E52" s="180">
        <f>Picks!G52</f>
        <v>2.7</v>
      </c>
      <c r="F52" s="179">
        <f>IF(C52="","",INDEX(Odds!K:K,MATCH(C52,Odds!G:G,0)))</f>
        <v>1</v>
      </c>
      <c r="G52" s="179">
        <f>IF(C52="","",Picks!P52)</f>
        <v>0</v>
      </c>
      <c r="H52" s="180">
        <f t="shared" si="42"/>
        <v>0</v>
      </c>
      <c r="I52" s="184"/>
      <c r="X52" s="178">
        <f t="shared" si="43"/>
        <v>1.7000000000000002</v>
      </c>
    </row>
    <row r="53" spans="2:37">
      <c r="B53" s="178" t="str">
        <f>$V19</f>
        <v>Frank Allen</v>
      </c>
      <c r="C53" s="177" t="str">
        <f>Picks!E53</f>
        <v>Italy draw</v>
      </c>
      <c r="D53" s="178">
        <f>Picks!F53</f>
        <v>6</v>
      </c>
      <c r="E53" s="178">
        <f>Picks!G53</f>
        <v>3.4</v>
      </c>
      <c r="F53" s="177">
        <f>IF(C53="","",INDEX(Odds!K:K,MATCH(C53,Odds!G:G,0)))</f>
        <v>1</v>
      </c>
      <c r="G53" s="177">
        <f>IF(C53="","",Picks!P53)</f>
        <v>0</v>
      </c>
      <c r="H53" s="178">
        <f t="shared" si="42"/>
        <v>0</v>
      </c>
      <c r="I53" s="184"/>
      <c r="X53" s="178">
        <f t="shared" si="43"/>
        <v>2.4</v>
      </c>
    </row>
    <row r="54" spans="2:37">
      <c r="B54" s="177"/>
      <c r="C54" s="177" t="str">
        <f>Picks!E54</f>
        <v>Bristol R</v>
      </c>
      <c r="D54" s="178">
        <f>Picks!F54</f>
        <v>7</v>
      </c>
      <c r="E54" s="178">
        <f>Picks!G54</f>
        <v>1.7272727272727273</v>
      </c>
      <c r="F54" s="177">
        <f>IF(C54="","",INDEX(Odds!K:K,MATCH(C54,Odds!G:G,0)))</f>
        <v>1</v>
      </c>
      <c r="G54" s="177">
        <f>IF(C54="","",Picks!P54)</f>
        <v>1</v>
      </c>
      <c r="H54" s="178">
        <f t="shared" si="42"/>
        <v>0.72727272727272729</v>
      </c>
      <c r="I54" s="184"/>
      <c r="X54" s="178">
        <f t="shared" si="43"/>
        <v>0.72727272727272729</v>
      </c>
    </row>
    <row r="55" spans="2:37" ht="13.15" thickBot="1">
      <c r="B55" s="179"/>
      <c r="C55" s="179" t="str">
        <f>Picks!E55</f>
        <v>Croatia</v>
      </c>
      <c r="D55" s="180">
        <f>Picks!F55</f>
        <v>7</v>
      </c>
      <c r="E55" s="180">
        <f>Picks!G55</f>
        <v>2.15</v>
      </c>
      <c r="F55" s="179">
        <f>IF(C55="","",INDEX(Odds!K:K,MATCH(C55,Odds!G:G,0)))</f>
        <v>1</v>
      </c>
      <c r="G55" s="179">
        <f>IF(C55="","",Picks!P55)</f>
        <v>1</v>
      </c>
      <c r="H55" s="180">
        <f t="shared" si="42"/>
        <v>1.1499999999999999</v>
      </c>
      <c r="I55" s="184"/>
      <c r="X55" s="178">
        <f t="shared" si="43"/>
        <v>1.1499999999999999</v>
      </c>
    </row>
    <row r="56" spans="2:37">
      <c r="B56" s="178" t="str">
        <f>$V20</f>
        <v>Gareth Powell</v>
      </c>
      <c r="C56" s="177" t="str">
        <f>Picks!E56</f>
        <v>Wales</v>
      </c>
      <c r="D56" s="178">
        <f>Picks!F56</f>
        <v>1</v>
      </c>
      <c r="E56" s="178">
        <f>Picks!G56</f>
        <v>5</v>
      </c>
      <c r="F56" s="177">
        <f>IF(C56="","",INDEX(Odds!K:K,MATCH(C56,Odds!G:G,0)))</f>
        <v>1</v>
      </c>
      <c r="G56" s="177">
        <f>IF(C56="","",Picks!P56)</f>
        <v>0</v>
      </c>
      <c r="H56" s="178">
        <f t="shared" si="42"/>
        <v>0</v>
      </c>
      <c r="I56" s="184"/>
      <c r="X56" s="178">
        <f t="shared" si="43"/>
        <v>4</v>
      </c>
    </row>
    <row r="57" spans="2:37">
      <c r="B57" s="177"/>
      <c r="C57" s="177" t="str">
        <f>Picks!E57</f>
        <v>Reading</v>
      </c>
      <c r="D57" s="178">
        <f>Picks!F57</f>
        <v>7</v>
      </c>
      <c r="E57" s="178">
        <f>Picks!G57</f>
        <v>2.5</v>
      </c>
      <c r="F57" s="177">
        <f>IF(C57="","",INDEX(Odds!K:K,MATCH(C57,Odds!G:G,0)))</f>
        <v>1</v>
      </c>
      <c r="G57" s="177">
        <f>IF(C57="","",Picks!P57)</f>
        <v>0</v>
      </c>
      <c r="H57" s="178">
        <f t="shared" si="42"/>
        <v>0</v>
      </c>
      <c r="I57" s="184"/>
      <c r="X57" s="178">
        <f t="shared" si="43"/>
        <v>1.5</v>
      </c>
    </row>
    <row r="58" spans="2:37" ht="13.15" thickBot="1">
      <c r="B58" s="179"/>
      <c r="C58" s="179" t="str">
        <f>Picks!E58</f>
        <v>Israel</v>
      </c>
      <c r="D58" s="180">
        <f>Picks!F58</f>
        <v>1</v>
      </c>
      <c r="E58" s="180">
        <f>Picks!G58</f>
        <v>2.5</v>
      </c>
      <c r="F58" s="179">
        <f>IF(C58="","",INDEX(Odds!K:K,MATCH(C58,Odds!G:G,0)))</f>
        <v>1</v>
      </c>
      <c r="G58" s="179">
        <f>IF(C58="","",Picks!P58)</f>
        <v>0</v>
      </c>
      <c r="H58" s="180">
        <f t="shared" si="42"/>
        <v>0</v>
      </c>
      <c r="I58" s="184"/>
      <c r="X58" s="178">
        <f t="shared" si="43"/>
        <v>1.5</v>
      </c>
    </row>
    <row r="59" spans="2:37">
      <c r="B59" s="178" t="str">
        <f>$V21</f>
        <v>Gerard Ventom</v>
      </c>
      <c r="C59" s="177" t="str">
        <f>Picks!E59</f>
        <v>Rotherham draw</v>
      </c>
      <c r="D59" s="178">
        <f>Picks!F59</f>
        <v>7</v>
      </c>
      <c r="E59" s="178">
        <f>Picks!G59</f>
        <v>3.4</v>
      </c>
      <c r="F59" s="177">
        <f>IF(C59="","",INDEX(Odds!K:K,MATCH(C59,Odds!G:G,0)))</f>
        <v>1</v>
      </c>
      <c r="G59" s="177">
        <f>IF(C59="","",Picks!P59)</f>
        <v>1</v>
      </c>
      <c r="H59" s="178">
        <f t="shared" si="42"/>
        <v>2.4</v>
      </c>
      <c r="I59" s="184"/>
      <c r="X59" s="178">
        <f t="shared" si="43"/>
        <v>2.4</v>
      </c>
    </row>
    <row r="60" spans="2:37">
      <c r="B60" s="177"/>
      <c r="C60" s="177" t="str">
        <f>Picks!E60</f>
        <v>Shrewsbury draw</v>
      </c>
      <c r="D60" s="178">
        <f>Picks!F60</f>
        <v>7</v>
      </c>
      <c r="E60" s="178">
        <f>Picks!G60</f>
        <v>3</v>
      </c>
      <c r="F60" s="177">
        <f>IF(C60="","",INDEX(Odds!K:K,MATCH(C60,Odds!G:G,0)))</f>
        <v>1</v>
      </c>
      <c r="G60" s="177">
        <f>IF(C60="","",Picks!P60)</f>
        <v>1</v>
      </c>
      <c r="H60" s="178">
        <f t="shared" si="42"/>
        <v>2</v>
      </c>
      <c r="I60" s="184"/>
      <c r="X60" s="178">
        <f t="shared" si="43"/>
        <v>2</v>
      </c>
    </row>
    <row r="61" spans="2:37" ht="13.15" thickBot="1">
      <c r="B61" s="179"/>
      <c r="C61" s="179" t="str">
        <f>Picks!E61</f>
        <v>Tranmere</v>
      </c>
      <c r="D61" s="180">
        <f>Picks!F61</f>
        <v>7</v>
      </c>
      <c r="E61" s="180">
        <f>Picks!G61</f>
        <v>2.5</v>
      </c>
      <c r="F61" s="179">
        <f>IF(C61="","",INDEX(Odds!K:K,MATCH(C61,Odds!G:G,0)))</f>
        <v>1</v>
      </c>
      <c r="G61" s="179">
        <f>IF(C61="","",Picks!P61)</f>
        <v>0</v>
      </c>
      <c r="H61" s="180">
        <f t="shared" si="42"/>
        <v>0</v>
      </c>
      <c r="I61" s="184"/>
      <c r="X61" s="178">
        <f t="shared" si="43"/>
        <v>1.5</v>
      </c>
    </row>
    <row r="62" spans="2:37">
      <c r="B62" s="178" t="str">
        <f>$V22</f>
        <v>Graham Miller</v>
      </c>
      <c r="C62" s="177" t="str">
        <f>Picks!E62</f>
        <v>Italy</v>
      </c>
      <c r="D62" s="178">
        <f>Picks!F62</f>
        <v>6</v>
      </c>
      <c r="E62" s="178">
        <f>Picks!G62</f>
        <v>2.1</v>
      </c>
      <c r="F62" s="177">
        <f>IF(C62="","",INDEX(Odds!K:K,MATCH(C62,Odds!G:G,0)))</f>
        <v>1</v>
      </c>
      <c r="G62" s="177">
        <f>IF(C62="","",Picks!P62)</f>
        <v>0</v>
      </c>
      <c r="H62" s="178">
        <f t="shared" si="42"/>
        <v>0</v>
      </c>
      <c r="I62" s="184"/>
      <c r="X62" s="178">
        <f t="shared" si="43"/>
        <v>1.1000000000000001</v>
      </c>
    </row>
    <row r="63" spans="2:37">
      <c r="B63" s="177"/>
      <c r="C63" s="177" t="str">
        <f>Picks!E63</f>
        <v>Albania</v>
      </c>
      <c r="D63" s="178">
        <f>Picks!F63</f>
        <v>7</v>
      </c>
      <c r="E63" s="178">
        <f>Picks!G63</f>
        <v>1.5</v>
      </c>
      <c r="F63" s="177">
        <f>IF(C63="","",INDEX(Odds!K:K,MATCH(C63,Odds!G:G,0)))</f>
        <v>1</v>
      </c>
      <c r="G63" s="177">
        <f>IF(C63="","",Picks!P63)</f>
        <v>1</v>
      </c>
      <c r="H63" s="178">
        <f t="shared" si="42"/>
        <v>0.5</v>
      </c>
      <c r="I63" s="184"/>
      <c r="X63" s="178">
        <f t="shared" si="43"/>
        <v>0.5</v>
      </c>
    </row>
    <row r="64" spans="2:37" ht="13.15" thickBot="1">
      <c r="B64" s="179"/>
      <c r="C64" s="179" t="str">
        <f>Picks!E64</f>
        <v>Bulgaria</v>
      </c>
      <c r="D64" s="180">
        <f>Picks!F64</f>
        <v>7</v>
      </c>
      <c r="E64" s="180">
        <f>Picks!G64</f>
        <v>2.2000000000000002</v>
      </c>
      <c r="F64" s="179">
        <f>IF(C64="","",INDEX(Odds!K:K,MATCH(C64,Odds!G:G,0)))</f>
        <v>1</v>
      </c>
      <c r="G64" s="179">
        <f>IF(C64="","",Picks!P64)</f>
        <v>0</v>
      </c>
      <c r="H64" s="180">
        <f t="shared" si="42"/>
        <v>0</v>
      </c>
      <c r="I64" s="184"/>
      <c r="X64" s="178">
        <f t="shared" si="43"/>
        <v>1.2000000000000002</v>
      </c>
    </row>
    <row r="65" spans="2:24">
      <c r="B65" s="178" t="str">
        <f>$V23</f>
        <v>Howard Bradley</v>
      </c>
      <c r="C65" s="177" t="str">
        <f>Picks!E65</f>
        <v>Slovakia</v>
      </c>
      <c r="D65" s="178">
        <f>Picks!F65</f>
        <v>7</v>
      </c>
      <c r="E65" s="178">
        <f>Picks!G65</f>
        <v>1.25</v>
      </c>
      <c r="F65" s="177">
        <f>IF(C65="","",INDEX(Odds!K:K,MATCH(C65,Odds!G:G,0)))</f>
        <v>1</v>
      </c>
      <c r="G65" s="177">
        <f>IF(C65="","",Picks!P65)</f>
        <v>1</v>
      </c>
      <c r="H65" s="178">
        <f t="shared" si="42"/>
        <v>0.25</v>
      </c>
      <c r="I65" s="184"/>
      <c r="X65" s="178">
        <f t="shared" si="43"/>
        <v>0.25</v>
      </c>
    </row>
    <row r="66" spans="2:24">
      <c r="B66" s="177"/>
      <c r="C66" s="177" t="str">
        <f>Picks!E66</f>
        <v>Austria</v>
      </c>
      <c r="D66" s="178">
        <f>Picks!F66</f>
        <v>1</v>
      </c>
      <c r="E66" s="178">
        <f>Picks!G66</f>
        <v>1.5</v>
      </c>
      <c r="F66" s="177">
        <f>IF(C66="","",INDEX(Odds!K:K,MATCH(C66,Odds!G:G,0)))</f>
        <v>1</v>
      </c>
      <c r="G66" s="177">
        <f>IF(C66="","",Picks!P66)</f>
        <v>1</v>
      </c>
      <c r="H66" s="178">
        <f t="shared" ref="H66:H94" si="95">IF(C66="","",+((E66-1)*G66*F66*A$2))</f>
        <v>0.5</v>
      </c>
      <c r="I66" s="184"/>
      <c r="X66" s="178">
        <f t="shared" ref="X66:X76" si="96">+((E66-1)*F66*A$2)</f>
        <v>0.5</v>
      </c>
    </row>
    <row r="67" spans="2:24" ht="13.15" thickBot="1">
      <c r="B67" s="179"/>
      <c r="C67" s="179" t="str">
        <f>Picks!E67</f>
        <v>Germany</v>
      </c>
      <c r="D67" s="180">
        <f>Picks!F67</f>
        <v>1</v>
      </c>
      <c r="E67" s="180">
        <f>Picks!G67</f>
        <v>1.3636363636363638</v>
      </c>
      <c r="F67" s="179">
        <f>IF(C67="","",INDEX(Odds!K:K,MATCH(C67,Odds!G:G,0)))</f>
        <v>1</v>
      </c>
      <c r="G67" s="179">
        <f>IF(C67="","",Picks!P67)</f>
        <v>0</v>
      </c>
      <c r="H67" s="180">
        <f t="shared" si="95"/>
        <v>0</v>
      </c>
      <c r="I67" s="184"/>
      <c r="X67" s="178">
        <f t="shared" si="96"/>
        <v>0.36363636363636376</v>
      </c>
    </row>
    <row r="68" spans="2:24">
      <c r="B68" s="178" t="str">
        <f>$V24</f>
        <v>Jack Walsh</v>
      </c>
      <c r="C68" s="177" t="str">
        <f>Picks!E68</f>
        <v>Altrincham</v>
      </c>
      <c r="D68" s="178">
        <f>Picks!F68</f>
        <v>1</v>
      </c>
      <c r="E68" s="178">
        <f>Picks!G68</f>
        <v>2.2000000000000002</v>
      </c>
      <c r="F68" s="177">
        <f>IF(C68="","",INDEX(Odds!K:K,MATCH(C68,Odds!G:G,0)))</f>
        <v>1</v>
      </c>
      <c r="G68" s="177">
        <f>IF(C68="","",Picks!P68)</f>
        <v>1</v>
      </c>
      <c r="H68" s="178">
        <f t="shared" si="95"/>
        <v>1.2000000000000002</v>
      </c>
      <c r="I68" s="184"/>
      <c r="X68" s="178">
        <f t="shared" si="96"/>
        <v>1.2000000000000002</v>
      </c>
    </row>
    <row r="69" spans="2:24">
      <c r="B69" s="177"/>
      <c r="C69" s="177" t="str">
        <f>Picks!E69</f>
        <v>Plymouth</v>
      </c>
      <c r="D69" s="178">
        <f>Picks!F69</f>
        <v>7</v>
      </c>
      <c r="E69" s="178">
        <f>Picks!G69</f>
        <v>1.6153846153846154</v>
      </c>
      <c r="F69" s="177">
        <f>IF(C69="","",INDEX(Odds!K:K,MATCH(C69,Odds!G:G,0)))</f>
        <v>1</v>
      </c>
      <c r="G69" s="177">
        <f>IF(C69="","",Picks!P69)</f>
        <v>0</v>
      </c>
      <c r="H69" s="178">
        <f t="shared" si="95"/>
        <v>0</v>
      </c>
      <c r="I69" s="184"/>
      <c r="X69" s="178">
        <f t="shared" si="96"/>
        <v>0.61538461538461542</v>
      </c>
    </row>
    <row r="70" spans="2:24" ht="13.15" thickBot="1">
      <c r="B70" s="179"/>
      <c r="C70" s="179" t="str">
        <f>Picks!E70</f>
        <v>Norway</v>
      </c>
      <c r="D70" s="180">
        <f>Picks!F70</f>
        <v>1</v>
      </c>
      <c r="E70" s="180">
        <f>Picks!G70</f>
        <v>2.625</v>
      </c>
      <c r="F70" s="179">
        <f>IF(C70="","",INDEX(Odds!K:K,MATCH(C70,Odds!G:G,0)))</f>
        <v>1</v>
      </c>
      <c r="G70" s="179">
        <f>IF(C70="","",Picks!P70)</f>
        <v>0</v>
      </c>
      <c r="H70" s="180">
        <f t="shared" si="95"/>
        <v>0</v>
      </c>
      <c r="I70" s="184"/>
      <c r="X70" s="178">
        <f t="shared" si="96"/>
        <v>1.625</v>
      </c>
    </row>
    <row r="71" spans="2:24">
      <c r="B71" s="178" t="str">
        <f>$V25</f>
        <v>Julie Dodd</v>
      </c>
      <c r="C71" s="177" t="str">
        <f>Picks!E71</f>
        <v>Fleetwood</v>
      </c>
      <c r="D71" s="178">
        <f>Picks!F71</f>
        <v>7</v>
      </c>
      <c r="E71" s="178">
        <f>Picks!G71</f>
        <v>1.85</v>
      </c>
      <c r="F71" s="177">
        <f>IF(C71="","",INDEX(Odds!K:K,MATCH(C71,Odds!G:G,0)))</f>
        <v>1</v>
      </c>
      <c r="G71" s="177">
        <f>IF(C71="","",Picks!P71)</f>
        <v>0</v>
      </c>
      <c r="H71" s="178">
        <f t="shared" si="95"/>
        <v>0</v>
      </c>
      <c r="I71" s="184"/>
      <c r="X71" s="178">
        <f t="shared" si="96"/>
        <v>0.85000000000000009</v>
      </c>
    </row>
    <row r="72" spans="2:24">
      <c r="B72" s="177"/>
      <c r="C72" s="177" t="str">
        <f>Picks!E72</f>
        <v>Swindon</v>
      </c>
      <c r="D72" s="178">
        <f>Picks!F72</f>
        <v>7</v>
      </c>
      <c r="E72" s="178">
        <f>Picks!G72</f>
        <v>2.0499999999999998</v>
      </c>
      <c r="F72" s="177">
        <f>IF(C72="","",INDEX(Odds!K:K,MATCH(C72,Odds!G:G,0)))</f>
        <v>1</v>
      </c>
      <c r="G72" s="177">
        <f>IF(C72="","",Picks!P72)</f>
        <v>0</v>
      </c>
      <c r="H72" s="178">
        <f t="shared" si="95"/>
        <v>0</v>
      </c>
      <c r="I72" s="184"/>
      <c r="X72" s="178">
        <f t="shared" si="96"/>
        <v>1.0499999999999998</v>
      </c>
    </row>
    <row r="73" spans="2:24" ht="13.15" thickBot="1">
      <c r="B73" s="179"/>
      <c r="C73" s="179" t="str">
        <f>Picks!E73</f>
        <v>Stockport</v>
      </c>
      <c r="D73" s="180">
        <f>Picks!F73</f>
        <v>7</v>
      </c>
      <c r="E73" s="180">
        <f>Picks!G73</f>
        <v>1.3636363636363638</v>
      </c>
      <c r="F73" s="179">
        <f>IF(C73="","",INDEX(Odds!K:K,MATCH(C73,Odds!G:G,0)))</f>
        <v>1</v>
      </c>
      <c r="G73" s="179">
        <f>IF(C73="","",Picks!P73)</f>
        <v>1</v>
      </c>
      <c r="H73" s="180">
        <f t="shared" si="95"/>
        <v>0.36363636363636376</v>
      </c>
      <c r="I73" s="184"/>
      <c r="X73" s="178">
        <f t="shared" si="96"/>
        <v>0.36363636363636376</v>
      </c>
    </row>
    <row r="74" spans="2:24">
      <c r="B74" s="177" t="str">
        <f>$V26</f>
        <v>Katy Savory</v>
      </c>
      <c r="C74" s="177" t="str">
        <f>Picks!E74</f>
        <v>Scotland</v>
      </c>
      <c r="D74" s="178">
        <f>Picks!F74</f>
        <v>7</v>
      </c>
      <c r="E74" s="178">
        <f>Picks!G74</f>
        <v>2.7</v>
      </c>
      <c r="F74" s="177">
        <f>IF(C74="","",INDEX(Odds!K:K,MATCH(C74,Odds!G:G,0)))</f>
        <v>1</v>
      </c>
      <c r="G74" s="177">
        <f>IF(C74="","",Picks!P74)</f>
        <v>0</v>
      </c>
      <c r="H74" s="178">
        <f t="shared" si="95"/>
        <v>0</v>
      </c>
      <c r="I74" s="184"/>
      <c r="X74" s="178">
        <f t="shared" si="96"/>
        <v>1.7000000000000002</v>
      </c>
    </row>
    <row r="75" spans="2:24">
      <c r="B75" s="177"/>
      <c r="C75" s="177" t="str">
        <f>Picks!E75</f>
        <v>Bulgaria</v>
      </c>
      <c r="D75" s="178">
        <f>Picks!F75</f>
        <v>7</v>
      </c>
      <c r="E75" s="178">
        <f>Picks!G75</f>
        <v>2.2000000000000002</v>
      </c>
      <c r="F75" s="177">
        <f>IF(C75="","",INDEX(Odds!K:K,MATCH(C75,Odds!G:G,0)))</f>
        <v>1</v>
      </c>
      <c r="G75" s="177">
        <f>IF(C75="","",Picks!P75)</f>
        <v>0</v>
      </c>
      <c r="H75" s="178">
        <f t="shared" si="95"/>
        <v>0</v>
      </c>
      <c r="I75" s="184"/>
      <c r="X75" s="178">
        <f t="shared" si="96"/>
        <v>1.2000000000000002</v>
      </c>
    </row>
    <row r="76" spans="2:24" ht="13.15" thickBot="1">
      <c r="B76" s="179"/>
      <c r="C76" s="179" t="str">
        <f>Picks!E76</f>
        <v>Shrewsbury</v>
      </c>
      <c r="D76" s="180">
        <f>Picks!F76</f>
        <v>7</v>
      </c>
      <c r="E76" s="180">
        <f>Picks!G76</f>
        <v>2.5</v>
      </c>
      <c r="F76" s="179">
        <f>IF(C76="","",INDEX(Odds!K:K,MATCH(C76,Odds!G:G,0)))</f>
        <v>1</v>
      </c>
      <c r="G76" s="179">
        <f>IF(C76="","",Picks!P76)</f>
        <v>0</v>
      </c>
      <c r="H76" s="180">
        <f t="shared" si="95"/>
        <v>0</v>
      </c>
      <c r="I76" s="184"/>
      <c r="X76" s="178">
        <f t="shared" si="96"/>
        <v>1.5</v>
      </c>
    </row>
    <row r="77" spans="2:24">
      <c r="B77" s="178" t="str">
        <f>$V27</f>
        <v>Kevin Carter</v>
      </c>
      <c r="C77" s="177" t="str">
        <f>Picks!E77</f>
        <v>Plymouth</v>
      </c>
      <c r="D77" s="178">
        <f>Picks!F77</f>
        <v>7</v>
      </c>
      <c r="E77" s="178">
        <f>Picks!G77</f>
        <v>1.6153846153846154</v>
      </c>
      <c r="F77" s="177">
        <f>IF(C77="","",INDEX(Odds!K:K,MATCH(C77,Odds!G:G,0)))</f>
        <v>1</v>
      </c>
      <c r="G77" s="177">
        <f>IF(C77="","",Picks!P77)</f>
        <v>0</v>
      </c>
      <c r="H77" s="178">
        <f t="shared" si="95"/>
        <v>0</v>
      </c>
      <c r="I77" s="184"/>
      <c r="X77" s="178">
        <f t="shared" ref="X77:X108" si="97">+((E77-1)*F77*A$2)</f>
        <v>0.61538461538461542</v>
      </c>
    </row>
    <row r="78" spans="2:24">
      <c r="B78" s="177"/>
      <c r="C78" s="177" t="str">
        <f>Picks!E78</f>
        <v>Denmark</v>
      </c>
      <c r="D78" s="178">
        <f>Picks!F78</f>
        <v>1</v>
      </c>
      <c r="E78" s="178">
        <f>Picks!G78</f>
        <v>1.65</v>
      </c>
      <c r="F78" s="177">
        <f>IF(C78="","",INDEX(Odds!K:K,MATCH(C78,Odds!G:G,0)))</f>
        <v>1</v>
      </c>
      <c r="G78" s="177">
        <f>IF(C78="","",Picks!P78)</f>
        <v>1</v>
      </c>
      <c r="H78" s="178">
        <f t="shared" si="95"/>
        <v>0.64999999999999991</v>
      </c>
      <c r="I78" s="184"/>
      <c r="X78" s="178">
        <f t="shared" si="97"/>
        <v>0.64999999999999991</v>
      </c>
    </row>
    <row r="79" spans="2:24" ht="13.15" thickBot="1">
      <c r="B79" s="179"/>
      <c r="C79" s="179" t="str">
        <f>Picks!E79</f>
        <v>Southend</v>
      </c>
      <c r="D79" s="180">
        <f>Picks!F79</f>
        <v>1</v>
      </c>
      <c r="E79" s="180">
        <f>Picks!G79</f>
        <v>1.75</v>
      </c>
      <c r="F79" s="179">
        <f>IF(C79="","",INDEX(Odds!K:K,MATCH(C79,Odds!G:G,0)))</f>
        <v>1</v>
      </c>
      <c r="G79" s="179">
        <f>IF(C79="","",Picks!P79)</f>
        <v>0</v>
      </c>
      <c r="H79" s="180">
        <f t="shared" si="95"/>
        <v>0</v>
      </c>
      <c r="I79" s="184"/>
      <c r="X79" s="178">
        <f t="shared" si="97"/>
        <v>0.75</v>
      </c>
    </row>
    <row r="80" spans="2:24">
      <c r="B80" s="178" t="str">
        <f>$V28</f>
        <v>Lennie Bow</v>
      </c>
      <c r="C80" s="177" t="str">
        <f>Picks!E80</f>
        <v>Georgia</v>
      </c>
      <c r="D80" s="178">
        <f>Picks!F80</f>
        <v>6</v>
      </c>
      <c r="E80" s="178">
        <f>Picks!G80</f>
        <v>1.85</v>
      </c>
      <c r="F80" s="177">
        <f>IF(C80="","",INDEX(Odds!K:K,MATCH(C80,Odds!G:G,0)))</f>
        <v>1</v>
      </c>
      <c r="G80" s="177">
        <f>IF(C80="","",Picks!P80)</f>
        <v>0</v>
      </c>
      <c r="H80" s="178">
        <f t="shared" si="95"/>
        <v>0</v>
      </c>
      <c r="I80" s="184"/>
      <c r="X80" s="178">
        <f t="shared" si="97"/>
        <v>0.85000000000000009</v>
      </c>
    </row>
    <row r="81" spans="2:24">
      <c r="B81" s="177"/>
      <c r="C81" s="177" t="str">
        <f>Picks!E81</f>
        <v>Plymouth</v>
      </c>
      <c r="D81" s="178">
        <f>Picks!F81</f>
        <v>7</v>
      </c>
      <c r="E81" s="178">
        <f>Picks!G81</f>
        <v>1.6153846153846154</v>
      </c>
      <c r="F81" s="177">
        <f>IF(C81="","",INDEX(Odds!K:K,MATCH(C81,Odds!G:G,0)))</f>
        <v>1</v>
      </c>
      <c r="G81" s="177">
        <f>IF(C81="","",Picks!P81)</f>
        <v>0</v>
      </c>
      <c r="H81" s="178">
        <f t="shared" si="95"/>
        <v>0</v>
      </c>
      <c r="I81" s="184"/>
      <c r="X81" s="178">
        <f t="shared" si="97"/>
        <v>0.61538461538461542</v>
      </c>
    </row>
    <row r="82" spans="2:24" ht="13.15" thickBot="1">
      <c r="B82" s="179"/>
      <c r="C82" s="179" t="str">
        <f>Picks!E82</f>
        <v>Southend</v>
      </c>
      <c r="D82" s="180">
        <f>Picks!F82</f>
        <v>1</v>
      </c>
      <c r="E82" s="180">
        <f>Picks!G82</f>
        <v>1.75</v>
      </c>
      <c r="F82" s="179">
        <f>IF(C82="","",INDEX(Odds!K:K,MATCH(C82,Odds!G:G,0)))</f>
        <v>1</v>
      </c>
      <c r="G82" s="179">
        <f>IF(C82="","",Picks!P82)</f>
        <v>0</v>
      </c>
      <c r="H82" s="180">
        <f t="shared" si="95"/>
        <v>0</v>
      </c>
      <c r="I82" s="184"/>
      <c r="X82" s="178">
        <f t="shared" si="97"/>
        <v>0.75</v>
      </c>
    </row>
    <row r="83" spans="2:24">
      <c r="B83" s="178" t="str">
        <f>$V29</f>
        <v>Mark Bunn</v>
      </c>
      <c r="C83" s="177" t="str">
        <f>Picks!E83</f>
        <v>Crewe</v>
      </c>
      <c r="D83" s="178">
        <f>Picks!F83</f>
        <v>7</v>
      </c>
      <c r="E83" s="178">
        <f>Picks!G83</f>
        <v>3.1</v>
      </c>
      <c r="F83" s="177">
        <f>IF(C83="","",INDEX(Odds!K:K,MATCH(C83,Odds!G:G,0)))</f>
        <v>1</v>
      </c>
      <c r="G83" s="177">
        <f>IF(C83="","",Picks!P83)</f>
        <v>0</v>
      </c>
      <c r="H83" s="178">
        <f t="shared" si="95"/>
        <v>0</v>
      </c>
      <c r="I83" s="184"/>
      <c r="X83" s="178">
        <f t="shared" si="97"/>
        <v>2.1</v>
      </c>
    </row>
    <row r="84" spans="2:24">
      <c r="B84" s="177"/>
      <c r="C84" s="177" t="str">
        <f>Picks!E84</f>
        <v>Swindon</v>
      </c>
      <c r="D84" s="178">
        <f>Picks!F84</f>
        <v>7</v>
      </c>
      <c r="E84" s="178">
        <f>Picks!G84</f>
        <v>2.0499999999999998</v>
      </c>
      <c r="F84" s="177">
        <f>IF(C84="","",INDEX(Odds!K:K,MATCH(C84,Odds!G:G,0)))</f>
        <v>1</v>
      </c>
      <c r="G84" s="177">
        <f>IF(C84="","",Picks!P84)</f>
        <v>0</v>
      </c>
      <c r="H84" s="178">
        <f t="shared" si="95"/>
        <v>0</v>
      </c>
      <c r="I84" s="184"/>
      <c r="X84" s="178">
        <f t="shared" si="97"/>
        <v>1.0499999999999998</v>
      </c>
    </row>
    <row r="85" spans="2:24" ht="13.15" thickBot="1">
      <c r="B85" s="179"/>
      <c r="C85" s="179" t="str">
        <f>Picks!E85</f>
        <v>Aldershot</v>
      </c>
      <c r="D85" s="180">
        <f>Picks!F85</f>
        <v>1</v>
      </c>
      <c r="E85" s="180">
        <f>Picks!G85</f>
        <v>2.4</v>
      </c>
      <c r="F85" s="179">
        <f>IF(C85="","",INDEX(Odds!K:K,MATCH(C85,Odds!G:G,0)))</f>
        <v>1</v>
      </c>
      <c r="G85" s="179">
        <f>IF(C85="","",Picks!P85)</f>
        <v>1</v>
      </c>
      <c r="H85" s="180">
        <f t="shared" si="95"/>
        <v>1.4</v>
      </c>
      <c r="I85" s="184"/>
      <c r="X85" s="178">
        <f t="shared" si="97"/>
        <v>1.4</v>
      </c>
    </row>
    <row r="86" spans="2:24">
      <c r="B86" s="178" t="str">
        <f>$V30</f>
        <v>Mark Saunders</v>
      </c>
      <c r="C86" s="177" t="str">
        <f>Picks!E86</f>
        <v>Ireland</v>
      </c>
      <c r="D86" s="178">
        <f>Picks!F86</f>
        <v>1</v>
      </c>
      <c r="E86" s="178">
        <f>Picks!G86</f>
        <v>2.625</v>
      </c>
      <c r="F86" s="177">
        <f>IF(C86="","",INDEX(Odds!K:K,MATCH(C86,Odds!G:G,0)))</f>
        <v>1</v>
      </c>
      <c r="G86" s="177">
        <f>IF(C86="","",Picks!P86)</f>
        <v>1</v>
      </c>
      <c r="H86" s="178">
        <f t="shared" si="95"/>
        <v>1.625</v>
      </c>
      <c r="I86" s="184"/>
      <c r="X86" s="178">
        <f t="shared" si="97"/>
        <v>1.625</v>
      </c>
    </row>
    <row r="87" spans="2:24">
      <c r="B87" s="177"/>
      <c r="C87" s="177" t="str">
        <f>Picks!E87</f>
        <v>York</v>
      </c>
      <c r="D87" s="178">
        <f>Picks!F87</f>
        <v>7</v>
      </c>
      <c r="E87" s="178">
        <f>Picks!G87</f>
        <v>1.5</v>
      </c>
      <c r="F87" s="177">
        <f>IF(C87="","",INDEX(Odds!K:K,MATCH(C87,Odds!G:G,0)))</f>
        <v>1</v>
      </c>
      <c r="G87" s="177">
        <f>IF(C87="","",Picks!P87)</f>
        <v>1</v>
      </c>
      <c r="H87" s="178">
        <f t="shared" si="95"/>
        <v>0.5</v>
      </c>
      <c r="I87" s="184"/>
      <c r="X87" s="178">
        <f t="shared" si="97"/>
        <v>0.5</v>
      </c>
    </row>
    <row r="88" spans="2:24" ht="13.15" thickBot="1">
      <c r="B88" s="179"/>
      <c r="C88" s="179" t="str">
        <f>Picks!E88</f>
        <v>Sweden</v>
      </c>
      <c r="D88" s="180">
        <f>Picks!F88</f>
        <v>6</v>
      </c>
      <c r="E88" s="180">
        <f>Picks!G88</f>
        <v>1.5</v>
      </c>
      <c r="F88" s="179">
        <f>IF(C88="","",INDEX(Odds!K:K,MATCH(C88,Odds!G:G,0)))</f>
        <v>1</v>
      </c>
      <c r="G88" s="179">
        <f>IF(C88="","",Picks!P88)</f>
        <v>1</v>
      </c>
      <c r="H88" s="180">
        <f t="shared" si="95"/>
        <v>0.5</v>
      </c>
      <c r="I88" s="184"/>
      <c r="X88" s="178">
        <f t="shared" si="97"/>
        <v>0.5</v>
      </c>
    </row>
    <row r="89" spans="2:24">
      <c r="B89" s="178" t="str">
        <f>$V31</f>
        <v>Martin Molyneux</v>
      </c>
      <c r="C89" s="177" t="str">
        <f>Picks!E89</f>
        <v/>
      </c>
      <c r="D89" s="178" t="str">
        <f>Picks!F89</f>
        <v/>
      </c>
      <c r="E89" s="178" t="str">
        <f>Picks!G89</f>
        <v/>
      </c>
      <c r="F89" s="177" t="str">
        <f>IF(C89="","",INDEX(Odds!K:K,MATCH(C89,Odds!G:G,0)))</f>
        <v/>
      </c>
      <c r="G89" s="177" t="str">
        <f>IF(C89="","",Picks!P89)</f>
        <v/>
      </c>
      <c r="H89" s="178" t="str">
        <f t="shared" si="95"/>
        <v/>
      </c>
      <c r="I89" s="184"/>
      <c r="X89" s="178" t="e">
        <f t="shared" si="97"/>
        <v>#VALUE!</v>
      </c>
    </row>
    <row r="90" spans="2:24">
      <c r="B90" s="177"/>
      <c r="C90" s="177" t="str">
        <f>Picks!E90</f>
        <v/>
      </c>
      <c r="D90" s="178" t="str">
        <f>Picks!F90</f>
        <v/>
      </c>
      <c r="E90" s="178" t="str">
        <f>Picks!G90</f>
        <v/>
      </c>
      <c r="F90" s="177" t="str">
        <f>IF(C90="","",INDEX(Odds!K:K,MATCH(C90,Odds!G:G,0)))</f>
        <v/>
      </c>
      <c r="G90" s="177" t="str">
        <f>IF(C90="","",Picks!P90)</f>
        <v/>
      </c>
      <c r="H90" s="178" t="str">
        <f t="shared" si="95"/>
        <v/>
      </c>
      <c r="I90" s="184"/>
      <c r="X90" s="178" t="e">
        <f t="shared" si="97"/>
        <v>#VALUE!</v>
      </c>
    </row>
    <row r="91" spans="2:24" ht="13.15" thickBot="1">
      <c r="B91" s="179"/>
      <c r="C91" s="179" t="str">
        <f>Picks!E91</f>
        <v/>
      </c>
      <c r="D91" s="180" t="str">
        <f>Picks!F91</f>
        <v/>
      </c>
      <c r="E91" s="180" t="str">
        <f>Picks!G91</f>
        <v/>
      </c>
      <c r="F91" s="179" t="str">
        <f>IF(C91="","",INDEX(Odds!K:K,MATCH(C91,Odds!G:G,0)))</f>
        <v/>
      </c>
      <c r="G91" s="179" t="str">
        <f>IF(C91="","",Picks!P91)</f>
        <v/>
      </c>
      <c r="H91" s="180" t="str">
        <f t="shared" si="95"/>
        <v/>
      </c>
      <c r="I91" s="184"/>
      <c r="X91" s="178" t="e">
        <f t="shared" si="97"/>
        <v>#VALUE!</v>
      </c>
    </row>
    <row r="92" spans="2:24">
      <c r="B92" s="178" t="str">
        <f>$V32</f>
        <v>Martin Tarbuck</v>
      </c>
      <c r="C92" s="177" t="str">
        <f>Picks!E92</f>
        <v/>
      </c>
      <c r="D92" s="178" t="str">
        <f>Picks!F92</f>
        <v/>
      </c>
      <c r="E92" s="178" t="str">
        <f>Picks!G92</f>
        <v/>
      </c>
      <c r="F92" s="177" t="str">
        <f>IF(C92="","",INDEX(Odds!K:K,MATCH(C92,Odds!G:G,0)))</f>
        <v/>
      </c>
      <c r="G92" s="177" t="str">
        <f>IF(C92="","",Picks!P92)</f>
        <v/>
      </c>
      <c r="H92" s="178" t="str">
        <f t="shared" si="95"/>
        <v/>
      </c>
      <c r="I92" s="184"/>
      <c r="X92" s="178" t="e">
        <f t="shared" si="97"/>
        <v>#VALUE!</v>
      </c>
    </row>
    <row r="93" spans="2:24">
      <c r="B93" s="181"/>
      <c r="C93" s="177" t="str">
        <f>Picks!E93</f>
        <v/>
      </c>
      <c r="D93" s="178" t="str">
        <f>Picks!F93</f>
        <v/>
      </c>
      <c r="E93" s="178" t="str">
        <f>Picks!G93</f>
        <v/>
      </c>
      <c r="F93" s="177" t="str">
        <f>IF(C93="","",INDEX(Odds!K:K,MATCH(C93,Odds!G:G,0)))</f>
        <v/>
      </c>
      <c r="G93" s="177" t="str">
        <f>IF(C93="","",Picks!P93)</f>
        <v/>
      </c>
      <c r="H93" s="178" t="str">
        <f t="shared" si="95"/>
        <v/>
      </c>
      <c r="I93" s="184"/>
      <c r="X93" s="178" t="e">
        <f t="shared" si="97"/>
        <v>#VALUE!</v>
      </c>
    </row>
    <row r="94" spans="2:24" ht="13.15" thickBot="1">
      <c r="B94" s="179"/>
      <c r="C94" s="179" t="str">
        <f>Picks!E94</f>
        <v/>
      </c>
      <c r="D94" s="180" t="str">
        <f>Picks!F94</f>
        <v/>
      </c>
      <c r="E94" s="180" t="str">
        <f>Picks!G94</f>
        <v/>
      </c>
      <c r="F94" s="179" t="str">
        <f>IF(C94="","",INDEX(Odds!K:K,MATCH(C94,Odds!G:G,0)))</f>
        <v/>
      </c>
      <c r="G94" s="179" t="str">
        <f>IF(C94="","",Picks!P94)</f>
        <v/>
      </c>
      <c r="H94" s="180" t="str">
        <f t="shared" si="95"/>
        <v/>
      </c>
      <c r="I94" s="184"/>
      <c r="X94" s="178" t="e">
        <f t="shared" si="97"/>
        <v>#VALUE!</v>
      </c>
    </row>
    <row r="95" spans="2:24">
      <c r="B95" s="178" t="str">
        <f>$V33</f>
        <v>Mike Penk</v>
      </c>
      <c r="C95" s="177" t="str">
        <f>Picks!E95</f>
        <v>Cambridge</v>
      </c>
      <c r="D95" s="178">
        <f>Picks!F95</f>
        <v>7</v>
      </c>
      <c r="E95" s="178">
        <f>Picks!G95</f>
        <v>1.8</v>
      </c>
      <c r="F95" s="177">
        <f>IF(C95="","",INDEX(Odds!K:K,MATCH(C95,Odds!G:G,0)))</f>
        <v>1</v>
      </c>
      <c r="G95" s="177">
        <f>IF(C95="","",Picks!P95)</f>
        <v>0</v>
      </c>
      <c r="H95" s="178">
        <f t="shared" ref="H95:H126" si="98">IF(C95="","",+((E95-1)*G95*F95*A$2))</f>
        <v>0</v>
      </c>
      <c r="I95" s="184"/>
      <c r="X95" s="178">
        <f t="shared" si="97"/>
        <v>0.8</v>
      </c>
    </row>
    <row r="96" spans="2:24">
      <c r="B96" s="177"/>
      <c r="C96" s="177" t="str">
        <f>Picks!E96</f>
        <v>Bulgaria</v>
      </c>
      <c r="D96" s="178">
        <f>Picks!F96</f>
        <v>7</v>
      </c>
      <c r="E96" s="178">
        <f>Picks!G96</f>
        <v>2.2000000000000002</v>
      </c>
      <c r="F96" s="177">
        <f>IF(C96="","",INDEX(Odds!K:K,MATCH(C96,Odds!G:G,0)))</f>
        <v>1</v>
      </c>
      <c r="G96" s="177">
        <f>IF(C96="","",Picks!P96)</f>
        <v>0</v>
      </c>
      <c r="H96" s="178">
        <f t="shared" si="98"/>
        <v>0</v>
      </c>
      <c r="I96" s="184"/>
      <c r="X96" s="178">
        <f t="shared" si="97"/>
        <v>1.2000000000000002</v>
      </c>
    </row>
    <row r="97" spans="2:24" ht="13.15" thickBot="1">
      <c r="B97" s="179"/>
      <c r="C97" s="179" t="str">
        <f>Picks!E97</f>
        <v>Altrincham</v>
      </c>
      <c r="D97" s="180">
        <f>Picks!F97</f>
        <v>1</v>
      </c>
      <c r="E97" s="180">
        <f>Picks!G97</f>
        <v>2.2000000000000002</v>
      </c>
      <c r="F97" s="179">
        <f>IF(C97="","",INDEX(Odds!K:K,MATCH(C97,Odds!G:G,0)))</f>
        <v>1</v>
      </c>
      <c r="G97" s="179">
        <f>IF(C97="","",Picks!P97)</f>
        <v>1</v>
      </c>
      <c r="H97" s="180">
        <f t="shared" si="98"/>
        <v>1.2000000000000002</v>
      </c>
      <c r="I97" s="184"/>
      <c r="X97" s="178">
        <f t="shared" si="97"/>
        <v>1.2000000000000002</v>
      </c>
    </row>
    <row r="98" spans="2:24">
      <c r="B98" s="178" t="str">
        <f>$V34</f>
        <v>Naaman Boyd</v>
      </c>
      <c r="C98" s="177" t="str">
        <f>Picks!E98</f>
        <v>Shrewsbury</v>
      </c>
      <c r="D98" s="178">
        <f>Picks!F98</f>
        <v>7</v>
      </c>
      <c r="E98" s="178">
        <f>Picks!G98</f>
        <v>2.5</v>
      </c>
      <c r="F98" s="177">
        <f>IF(C98="","",INDEX(Odds!K:K,MATCH(C98,Odds!G:G,0)))</f>
        <v>1</v>
      </c>
      <c r="G98" s="177">
        <f>IF(C98="","",Picks!P98)</f>
        <v>0</v>
      </c>
      <c r="H98" s="178">
        <f t="shared" si="98"/>
        <v>0</v>
      </c>
      <c r="I98" s="184"/>
      <c r="X98" s="178">
        <f t="shared" si="97"/>
        <v>1.5</v>
      </c>
    </row>
    <row r="99" spans="2:24">
      <c r="B99" s="177"/>
      <c r="C99" s="177" t="str">
        <f>Picks!E99</f>
        <v>Tranmere</v>
      </c>
      <c r="D99" s="178">
        <f>Picks!F99</f>
        <v>7</v>
      </c>
      <c r="E99" s="178">
        <f>Picks!G99</f>
        <v>2.5</v>
      </c>
      <c r="F99" s="177">
        <f>IF(C99="","",INDEX(Odds!K:K,MATCH(C99,Odds!G:G,0)))</f>
        <v>1</v>
      </c>
      <c r="G99" s="177">
        <f>IF(C99="","",Picks!P99)</f>
        <v>0</v>
      </c>
      <c r="H99" s="178">
        <f t="shared" si="98"/>
        <v>0</v>
      </c>
      <c r="I99" s="184"/>
      <c r="X99" s="178">
        <f t="shared" si="97"/>
        <v>1.5</v>
      </c>
    </row>
    <row r="100" spans="2:24" ht="13.15" thickBot="1">
      <c r="B100" s="179"/>
      <c r="C100" s="179" t="str">
        <f>Picks!E100</f>
        <v>York</v>
      </c>
      <c r="D100" s="180">
        <f>Picks!F100</f>
        <v>7</v>
      </c>
      <c r="E100" s="180">
        <f>Picks!G100</f>
        <v>1.5</v>
      </c>
      <c r="F100" s="179">
        <f>IF(C100="","",INDEX(Odds!K:K,MATCH(C100,Odds!G:G,0)))</f>
        <v>1</v>
      </c>
      <c r="G100" s="179">
        <f>IF(C100="","",Picks!P100)</f>
        <v>1</v>
      </c>
      <c r="H100" s="180">
        <f t="shared" si="98"/>
        <v>0.5</v>
      </c>
      <c r="I100" s="184"/>
      <c r="X100" s="178">
        <f t="shared" si="97"/>
        <v>0.5</v>
      </c>
    </row>
    <row r="101" spans="2:24">
      <c r="B101" s="178" t="str">
        <f>$V35</f>
        <v>Nick Blocksidge</v>
      </c>
      <c r="C101" s="177" t="str">
        <f>Picks!E101</f>
        <v>Stockport</v>
      </c>
      <c r="D101" s="178">
        <f>Picks!F101</f>
        <v>7</v>
      </c>
      <c r="E101" s="178">
        <f>Picks!G101</f>
        <v>1.3636363636363638</v>
      </c>
      <c r="F101" s="177">
        <f>IF(C101="","",INDEX(Odds!K:K,MATCH(C101,Odds!G:G,0)))</f>
        <v>1</v>
      </c>
      <c r="G101" s="177">
        <f>IF(C101="","",Picks!P101)</f>
        <v>1</v>
      </c>
      <c r="H101" s="178">
        <f t="shared" si="98"/>
        <v>0.36363636363636376</v>
      </c>
      <c r="I101" s="184"/>
      <c r="X101" s="178">
        <f t="shared" si="97"/>
        <v>0.36363636363636376</v>
      </c>
    </row>
    <row r="102" spans="2:24">
      <c r="B102" s="177"/>
      <c r="C102" s="177" t="str">
        <f>Picks!E102</f>
        <v>York</v>
      </c>
      <c r="D102" s="178">
        <f>Picks!F102</f>
        <v>7</v>
      </c>
      <c r="E102" s="178">
        <f>Picks!G102</f>
        <v>1.5</v>
      </c>
      <c r="F102" s="177">
        <f>IF(C102="","",INDEX(Odds!K:K,MATCH(C102,Odds!G:G,0)))</f>
        <v>1</v>
      </c>
      <c r="G102" s="177">
        <f>IF(C102="","",Picks!P102)</f>
        <v>1</v>
      </c>
      <c r="H102" s="178">
        <f t="shared" si="98"/>
        <v>0.5</v>
      </c>
      <c r="I102" s="184"/>
      <c r="X102" s="178">
        <f t="shared" si="97"/>
        <v>0.5</v>
      </c>
    </row>
    <row r="103" spans="2:24" ht="13.15" thickBot="1">
      <c r="B103" s="179"/>
      <c r="C103" s="179" t="str">
        <f>Picks!E103</f>
        <v>Italy draw</v>
      </c>
      <c r="D103" s="180">
        <f>Picks!F103</f>
        <v>6</v>
      </c>
      <c r="E103" s="180">
        <f>Picks!G103</f>
        <v>3.4</v>
      </c>
      <c r="F103" s="179">
        <f>IF(C103="","",INDEX(Odds!K:K,MATCH(C103,Odds!G:G,0)))</f>
        <v>1</v>
      </c>
      <c r="G103" s="179">
        <f>IF(C103="","",Picks!P103)</f>
        <v>0</v>
      </c>
      <c r="H103" s="180">
        <f t="shared" si="98"/>
        <v>0</v>
      </c>
      <c r="I103" s="184"/>
      <c r="X103" s="178">
        <f t="shared" si="97"/>
        <v>2.4</v>
      </c>
    </row>
    <row r="104" spans="2:24">
      <c r="B104" s="178" t="str">
        <f>$V36</f>
        <v>Nigel Heyes</v>
      </c>
      <c r="C104" s="177" t="str">
        <f>Picks!E104</f>
        <v>Chesterfield</v>
      </c>
      <c r="D104" s="178">
        <f>Picks!F104</f>
        <v>7</v>
      </c>
      <c r="E104" s="178">
        <f>Picks!G104</f>
        <v>2.15</v>
      </c>
      <c r="F104" s="177">
        <f>IF(C104="","",INDEX(Odds!K:K,MATCH(C104,Odds!G:G,0)))</f>
        <v>1</v>
      </c>
      <c r="G104" s="177">
        <f>IF(C104="","",Picks!P104)</f>
        <v>0</v>
      </c>
      <c r="H104" s="178">
        <f t="shared" si="98"/>
        <v>0</v>
      </c>
      <c r="I104" s="184"/>
      <c r="X104" s="178">
        <f t="shared" si="97"/>
        <v>1.1499999999999999</v>
      </c>
    </row>
    <row r="105" spans="2:24">
      <c r="B105" s="177"/>
      <c r="C105" s="177" t="str">
        <f>Picks!E105</f>
        <v>Rotherham</v>
      </c>
      <c r="D105" s="178">
        <f>Picks!F105</f>
        <v>7</v>
      </c>
      <c r="E105" s="178">
        <f>Picks!G105</f>
        <v>2.1</v>
      </c>
      <c r="F105" s="177">
        <f>IF(C105="","",INDEX(Odds!K:K,MATCH(C105,Odds!G:G,0)))</f>
        <v>1</v>
      </c>
      <c r="G105" s="177">
        <f>IF(C105="","",Picks!P105)</f>
        <v>0</v>
      </c>
      <c r="H105" s="178">
        <f t="shared" si="98"/>
        <v>0</v>
      </c>
      <c r="I105" s="184"/>
      <c r="X105" s="178">
        <f t="shared" si="97"/>
        <v>1.1000000000000001</v>
      </c>
    </row>
    <row r="106" spans="2:24" ht="13.15" thickBot="1">
      <c r="B106" s="179"/>
      <c r="C106" s="179" t="str">
        <f>Picks!E106</f>
        <v>Swindon</v>
      </c>
      <c r="D106" s="180">
        <f>Picks!F106</f>
        <v>7</v>
      </c>
      <c r="E106" s="180">
        <f>Picks!G106</f>
        <v>2.0499999999999998</v>
      </c>
      <c r="F106" s="179">
        <f>IF(C106="","",INDEX(Odds!K:K,MATCH(C106,Odds!G:G,0)))</f>
        <v>1</v>
      </c>
      <c r="G106" s="179">
        <f>IF(C106="","",Picks!P106)</f>
        <v>0</v>
      </c>
      <c r="H106" s="180">
        <f t="shared" si="98"/>
        <v>0</v>
      </c>
      <c r="I106" s="184"/>
      <c r="X106" s="178">
        <f t="shared" si="97"/>
        <v>1.0499999999999998</v>
      </c>
    </row>
    <row r="107" spans="2:24">
      <c r="B107" s="178" t="str">
        <f>$V37</f>
        <v>Paul Adderley</v>
      </c>
      <c r="C107" s="177" t="str">
        <f>Picks!E107</f>
        <v>Cambridge</v>
      </c>
      <c r="D107" s="178">
        <f>Picks!F107</f>
        <v>7</v>
      </c>
      <c r="E107" s="178">
        <f>Picks!G107</f>
        <v>1.8</v>
      </c>
      <c r="F107" s="177">
        <f>IF(C107="","",INDEX(Odds!K:K,MATCH(C107,Odds!G:G,0)))</f>
        <v>1</v>
      </c>
      <c r="G107" s="177">
        <f>IF(C107="","",Picks!P107)</f>
        <v>0</v>
      </c>
      <c r="H107" s="178">
        <f t="shared" si="98"/>
        <v>0</v>
      </c>
      <c r="I107" s="184"/>
      <c r="X107" s="178">
        <f t="shared" si="97"/>
        <v>0.8</v>
      </c>
    </row>
    <row r="108" spans="2:24">
      <c r="B108" s="177"/>
      <c r="C108" s="177" t="str">
        <f>Picks!E108</f>
        <v>Plymouth</v>
      </c>
      <c r="D108" s="178">
        <f>Picks!F108</f>
        <v>7</v>
      </c>
      <c r="E108" s="178">
        <f>Picks!G108</f>
        <v>1.6153846153846154</v>
      </c>
      <c r="F108" s="177">
        <f>IF(C108="","",INDEX(Odds!K:K,MATCH(C108,Odds!G:G,0)))</f>
        <v>1</v>
      </c>
      <c r="G108" s="177">
        <f>IF(C108="","",Picks!P108)</f>
        <v>0</v>
      </c>
      <c r="H108" s="178">
        <f t="shared" si="98"/>
        <v>0</v>
      </c>
      <c r="I108" s="184"/>
      <c r="X108" s="178">
        <f t="shared" si="97"/>
        <v>0.61538461538461542</v>
      </c>
    </row>
    <row r="109" spans="2:24" ht="13.15" thickBot="1">
      <c r="B109" s="179"/>
      <c r="C109" s="179" t="str">
        <f>Picks!E109</f>
        <v>Bristol R</v>
      </c>
      <c r="D109" s="180">
        <f>Picks!F109</f>
        <v>7</v>
      </c>
      <c r="E109" s="180">
        <f>Picks!G109</f>
        <v>1.7272727272727273</v>
      </c>
      <c r="F109" s="179">
        <f>IF(C109="","",INDEX(Odds!K:K,MATCH(C109,Odds!G:G,0)))</f>
        <v>1</v>
      </c>
      <c r="G109" s="179">
        <f>IF(C109="","",Picks!P109)</f>
        <v>1</v>
      </c>
      <c r="H109" s="180">
        <f t="shared" si="98"/>
        <v>0.72727272727272729</v>
      </c>
      <c r="I109" s="184"/>
      <c r="X109" s="178">
        <f t="shared" ref="X109:X151" si="99">+((E109-1)*F109*A$2)</f>
        <v>0.72727272727272729</v>
      </c>
    </row>
    <row r="110" spans="2:24">
      <c r="B110" s="178" t="str">
        <f>$V38</f>
        <v>Paul Allen</v>
      </c>
      <c r="C110" s="177" t="str">
        <f>Picks!E110</f>
        <v>Italy draw</v>
      </c>
      <c r="D110" s="178">
        <f>Picks!F110</f>
        <v>6</v>
      </c>
      <c r="E110" s="178">
        <f>Picks!G110</f>
        <v>3.4</v>
      </c>
      <c r="F110" s="177">
        <f>IF(C110="","",INDEX(Odds!K:K,MATCH(C110,Odds!G:G,0)))</f>
        <v>1</v>
      </c>
      <c r="G110" s="177">
        <f>IF(C110="","",Picks!P110)</f>
        <v>0</v>
      </c>
      <c r="H110" s="178">
        <f t="shared" si="98"/>
        <v>0</v>
      </c>
      <c r="I110" s="184"/>
      <c r="X110" s="178">
        <f t="shared" si="99"/>
        <v>2.4</v>
      </c>
    </row>
    <row r="111" spans="2:24">
      <c r="B111" s="177"/>
      <c r="C111" s="177" t="str">
        <f>Picks!E111</f>
        <v>Czech draw</v>
      </c>
      <c r="D111" s="178">
        <f>Picks!F111</f>
        <v>7</v>
      </c>
      <c r="E111" s="178">
        <f>Picks!G111</f>
        <v>3.3</v>
      </c>
      <c r="F111" s="177">
        <f>IF(C111="","",INDEX(Odds!K:K,MATCH(C111,Odds!G:G,0)))</f>
        <v>1</v>
      </c>
      <c r="G111" s="177">
        <f>IF(C111="","",Picks!P111)</f>
        <v>0</v>
      </c>
      <c r="H111" s="178">
        <f t="shared" si="98"/>
        <v>0</v>
      </c>
      <c r="I111" s="184"/>
      <c r="X111" s="178">
        <f t="shared" si="99"/>
        <v>2.2999999999999998</v>
      </c>
    </row>
    <row r="112" spans="2:24" ht="13.15" thickBot="1">
      <c r="B112" s="179"/>
      <c r="C112" s="179" t="str">
        <f>Picks!E112</f>
        <v>England draw</v>
      </c>
      <c r="D112" s="180">
        <f>Picks!F112</f>
        <v>7</v>
      </c>
      <c r="E112" s="180">
        <f>Picks!G112</f>
        <v>3.1</v>
      </c>
      <c r="F112" s="179">
        <f>IF(C112="","",INDEX(Odds!K:K,MATCH(C112,Odds!G:G,0)))</f>
        <v>1</v>
      </c>
      <c r="G112" s="179">
        <f>IF(C112="","",Picks!P112)</f>
        <v>0</v>
      </c>
      <c r="H112" s="180">
        <f t="shared" si="98"/>
        <v>0</v>
      </c>
      <c r="I112" s="184"/>
      <c r="X112" s="178">
        <f t="shared" si="99"/>
        <v>2.1</v>
      </c>
    </row>
    <row r="113" spans="2:24">
      <c r="B113" s="178" t="str">
        <f>$V39</f>
        <v>Paul Barnes</v>
      </c>
      <c r="C113" s="177" t="str">
        <f>Picks!E113</f>
        <v>Sweden</v>
      </c>
      <c r="D113" s="178">
        <f>Picks!F113</f>
        <v>6</v>
      </c>
      <c r="E113" s="178">
        <f>Picks!G113</f>
        <v>1.5</v>
      </c>
      <c r="F113" s="177">
        <f>IF(C113="","",INDEX(Odds!K:K,MATCH(C113,Odds!G:G,0)))</f>
        <v>1</v>
      </c>
      <c r="G113" s="177">
        <f>IF(C113="","",Picks!P113)</f>
        <v>1</v>
      </c>
      <c r="H113" s="178">
        <f t="shared" si="98"/>
        <v>0.5</v>
      </c>
      <c r="I113" s="184"/>
      <c r="X113" s="178">
        <f t="shared" si="99"/>
        <v>0.5</v>
      </c>
    </row>
    <row r="114" spans="2:24">
      <c r="B114" s="177"/>
      <c r="C114" s="177" t="str">
        <f>Picks!E114</f>
        <v>Montenegro</v>
      </c>
      <c r="D114" s="178">
        <f>Picks!F114</f>
        <v>6</v>
      </c>
      <c r="E114" s="178">
        <f>Picks!G114</f>
        <v>1.7</v>
      </c>
      <c r="F114" s="177">
        <f>IF(C114="","",INDEX(Odds!K:K,MATCH(C114,Odds!G:G,0)))</f>
        <v>1</v>
      </c>
      <c r="G114" s="177">
        <f>IF(C114="","",Picks!P114)</f>
        <v>1</v>
      </c>
      <c r="H114" s="178">
        <f t="shared" si="98"/>
        <v>0.7</v>
      </c>
      <c r="I114" s="184"/>
      <c r="X114" s="178">
        <f t="shared" si="99"/>
        <v>0.7</v>
      </c>
    </row>
    <row r="115" spans="2:24" ht="13.15" thickBot="1">
      <c r="B115" s="179"/>
      <c r="C115" s="179" t="str">
        <f>Picks!E115</f>
        <v>Portugal</v>
      </c>
      <c r="D115" s="180">
        <f>Picks!F115</f>
        <v>1</v>
      </c>
      <c r="E115" s="180">
        <f>Picks!G115</f>
        <v>2.5</v>
      </c>
      <c r="F115" s="179">
        <f>IF(C115="","",INDEX(Odds!K:K,MATCH(C115,Odds!G:G,0)))</f>
        <v>1</v>
      </c>
      <c r="G115" s="179">
        <f>IF(C115="","",Picks!P115)</f>
        <v>1</v>
      </c>
      <c r="H115" s="180">
        <f t="shared" si="98"/>
        <v>1.5</v>
      </c>
      <c r="I115" s="184"/>
      <c r="X115" s="178">
        <f t="shared" si="99"/>
        <v>1.5</v>
      </c>
    </row>
    <row r="116" spans="2:24">
      <c r="B116" s="178" t="str">
        <f>$V40</f>
        <v>Paul Fairhurst</v>
      </c>
      <c r="C116" s="177" t="str">
        <f>Picks!E116</f>
        <v>Spain</v>
      </c>
      <c r="D116" s="178">
        <f>Picks!F116</f>
        <v>7</v>
      </c>
      <c r="E116" s="178">
        <f>Picks!G116</f>
        <v>2.4</v>
      </c>
      <c r="F116" s="177">
        <f>IF(C116="","",INDEX(Odds!K:K,MATCH(C116,Odds!G:G,0)))</f>
        <v>1</v>
      </c>
      <c r="G116" s="177">
        <f>IF(C116="","",Picks!P116)</f>
        <v>1</v>
      </c>
      <c r="H116" s="178">
        <f t="shared" si="98"/>
        <v>1.4</v>
      </c>
      <c r="I116" s="184"/>
      <c r="X116" s="178">
        <f t="shared" si="99"/>
        <v>1.4</v>
      </c>
    </row>
    <row r="117" spans="2:24">
      <c r="B117" s="177"/>
      <c r="C117" s="177" t="str">
        <f>Picks!E117</f>
        <v>Finland</v>
      </c>
      <c r="D117" s="178">
        <f>Picks!F117</f>
        <v>7</v>
      </c>
      <c r="E117" s="178">
        <f>Picks!G117</f>
        <v>1.1000000000000001</v>
      </c>
      <c r="F117" s="177">
        <f>IF(C117="","",INDEX(Odds!K:K,MATCH(C117,Odds!G:G,0)))</f>
        <v>1</v>
      </c>
      <c r="G117" s="177">
        <f>IF(C117="","",Picks!P117)</f>
        <v>1</v>
      </c>
      <c r="H117" s="178">
        <f t="shared" si="98"/>
        <v>0.10000000000000009</v>
      </c>
      <c r="I117" s="184"/>
      <c r="X117" s="178">
        <f t="shared" si="99"/>
        <v>0.10000000000000009</v>
      </c>
    </row>
    <row r="118" spans="2:24" ht="13.15" thickBot="1">
      <c r="B118" s="179"/>
      <c r="C118" s="179" t="str">
        <f>Picks!E118</f>
        <v>Portugal</v>
      </c>
      <c r="D118" s="180">
        <f>Picks!F118</f>
        <v>1</v>
      </c>
      <c r="E118" s="180">
        <f>Picks!G118</f>
        <v>2.5</v>
      </c>
      <c r="F118" s="179">
        <f>IF(C118="","",INDEX(Odds!K:K,MATCH(C118,Odds!G:G,0)))</f>
        <v>1</v>
      </c>
      <c r="G118" s="179">
        <f>IF(C118="","",Picks!P118)</f>
        <v>1</v>
      </c>
      <c r="H118" s="180">
        <f t="shared" si="98"/>
        <v>1.5</v>
      </c>
      <c r="I118" s="184"/>
      <c r="X118" s="178">
        <f t="shared" si="99"/>
        <v>1.5</v>
      </c>
    </row>
    <row r="119" spans="2:24">
      <c r="B119" s="178" t="str">
        <f>$V41</f>
        <v>Phil Miller</v>
      </c>
      <c r="C119" s="177" t="str">
        <f>Picks!E119</f>
        <v>Armenia</v>
      </c>
      <c r="D119" s="178">
        <f>Picks!F119</f>
        <v>6</v>
      </c>
      <c r="E119" s="178">
        <f>Picks!G119</f>
        <v>1.7</v>
      </c>
      <c r="F119" s="177">
        <f>IF(C119="","",INDEX(Odds!K:K,MATCH(C119,Odds!G:G,0)))</f>
        <v>1</v>
      </c>
      <c r="G119" s="177">
        <f>IF(C119="","",Picks!P119)</f>
        <v>1</v>
      </c>
      <c r="H119" s="178">
        <f t="shared" si="98"/>
        <v>0.7</v>
      </c>
      <c r="I119" s="184"/>
      <c r="X119" s="178">
        <f t="shared" si="99"/>
        <v>0.7</v>
      </c>
    </row>
    <row r="120" spans="2:24">
      <c r="B120" s="177"/>
      <c r="C120" s="177" t="str">
        <f>Picks!E120</f>
        <v>France</v>
      </c>
      <c r="D120" s="178">
        <f>Picks!F120</f>
        <v>6</v>
      </c>
      <c r="E120" s="178">
        <f>Picks!G120</f>
        <v>1.4444444444444444</v>
      </c>
      <c r="F120" s="177">
        <f>IF(C120="","",INDEX(Odds!K:K,MATCH(C120,Odds!G:G,0)))</f>
        <v>1</v>
      </c>
      <c r="G120" s="177">
        <f>IF(C120="","",Picks!P120)</f>
        <v>1</v>
      </c>
      <c r="H120" s="178">
        <f t="shared" si="98"/>
        <v>0.44444444444444442</v>
      </c>
      <c r="I120" s="184"/>
      <c r="X120" s="178">
        <f t="shared" si="99"/>
        <v>0.44444444444444442</v>
      </c>
    </row>
    <row r="121" spans="2:24" ht="13.15" thickBot="1">
      <c r="B121" s="179"/>
      <c r="C121" s="179" t="str">
        <f>Picks!E121</f>
        <v>Iceland</v>
      </c>
      <c r="D121" s="180">
        <f>Picks!F121</f>
        <v>7</v>
      </c>
      <c r="E121" s="180">
        <f>Picks!G121</f>
        <v>1.2857142857142856</v>
      </c>
      <c r="F121" s="179">
        <f>IF(C121="","",INDEX(Odds!K:K,MATCH(C121,Odds!G:G,0)))</f>
        <v>1</v>
      </c>
      <c r="G121" s="179">
        <f>IF(C121="","",Picks!P121)</f>
        <v>0</v>
      </c>
      <c r="H121" s="180">
        <f t="shared" si="98"/>
        <v>0</v>
      </c>
      <c r="I121" s="184"/>
      <c r="X121" s="178">
        <f t="shared" si="99"/>
        <v>0.28571428571428559</v>
      </c>
    </row>
    <row r="122" spans="2:24">
      <c r="B122" s="178" t="str">
        <f>$V42</f>
        <v>Rob England</v>
      </c>
      <c r="C122" s="177" t="str">
        <f>Picks!E122</f>
        <v>Plymouth</v>
      </c>
      <c r="D122" s="178">
        <f>Picks!F122</f>
        <v>7</v>
      </c>
      <c r="E122" s="178">
        <f>Picks!G122</f>
        <v>1.6153846153846154</v>
      </c>
      <c r="F122" s="177">
        <f>IF(C122="","",INDEX(Odds!K:K,MATCH(C122,Odds!G:G,0)))</f>
        <v>1</v>
      </c>
      <c r="G122" s="177">
        <f>IF(C122="","",Picks!P122)</f>
        <v>0</v>
      </c>
      <c r="H122" s="178">
        <f t="shared" si="98"/>
        <v>0</v>
      </c>
      <c r="I122" s="184"/>
      <c r="X122" s="178">
        <f t="shared" si="99"/>
        <v>0.61538461538461542</v>
      </c>
    </row>
    <row r="123" spans="2:24">
      <c r="B123" s="177"/>
      <c r="C123" s="177" t="str">
        <f>Picks!E123</f>
        <v>Stockport</v>
      </c>
      <c r="D123" s="178">
        <f>Picks!F123</f>
        <v>7</v>
      </c>
      <c r="E123" s="178">
        <f>Picks!G123</f>
        <v>1.3636363636363638</v>
      </c>
      <c r="F123" s="177">
        <f>IF(C123="","",INDEX(Odds!K:K,MATCH(C123,Odds!G:G,0)))</f>
        <v>1</v>
      </c>
      <c r="G123" s="177">
        <f>IF(C123="","",Picks!P123)</f>
        <v>1</v>
      </c>
      <c r="H123" s="178">
        <f t="shared" si="98"/>
        <v>0.36363636363636376</v>
      </c>
      <c r="I123" s="184"/>
      <c r="X123" s="178">
        <f t="shared" si="99"/>
        <v>0.36363636363636376</v>
      </c>
    </row>
    <row r="124" spans="2:24" ht="13.15" thickBot="1">
      <c r="B124" s="179"/>
      <c r="C124" s="179" t="str">
        <f>Picks!E124</f>
        <v>Grimsby</v>
      </c>
      <c r="D124" s="180">
        <f>Picks!F124</f>
        <v>7</v>
      </c>
      <c r="E124" s="180">
        <f>Picks!G124</f>
        <v>1.8</v>
      </c>
      <c r="F124" s="179">
        <f>IF(C124="","",INDEX(Odds!K:K,MATCH(C124,Odds!G:G,0)))</f>
        <v>1</v>
      </c>
      <c r="G124" s="179">
        <f>IF(C124="","",Picks!P124)</f>
        <v>0</v>
      </c>
      <c r="H124" s="180">
        <f t="shared" si="98"/>
        <v>0</v>
      </c>
      <c r="I124" s="184"/>
      <c r="X124" s="178">
        <f t="shared" si="99"/>
        <v>0.8</v>
      </c>
    </row>
    <row r="125" spans="2:24">
      <c r="B125" s="178" t="str">
        <f>$V43</f>
        <v>Simon Greenhalgh</v>
      </c>
      <c r="C125" s="177" t="str">
        <f>Picks!E125</f>
        <v>Plymouth</v>
      </c>
      <c r="D125" s="178">
        <f>Picks!F125</f>
        <v>7</v>
      </c>
      <c r="E125" s="178">
        <f>Picks!G125</f>
        <v>1.6153846153846154</v>
      </c>
      <c r="F125" s="177">
        <f>IF(C125="","",INDEX(Odds!K:K,MATCH(C125,Odds!G:G,0)))</f>
        <v>1</v>
      </c>
      <c r="G125" s="177">
        <f>IF(C125="","",Picks!P125)</f>
        <v>0</v>
      </c>
      <c r="H125" s="178">
        <f t="shared" si="98"/>
        <v>0</v>
      </c>
      <c r="I125" s="184"/>
      <c r="X125" s="178">
        <f t="shared" si="99"/>
        <v>0.61538461538461542</v>
      </c>
    </row>
    <row r="126" spans="2:24">
      <c r="B126" s="177"/>
      <c r="C126" s="177" t="str">
        <f>Picks!E126</f>
        <v>Albania</v>
      </c>
      <c r="D126" s="178">
        <f>Picks!F126</f>
        <v>7</v>
      </c>
      <c r="E126" s="178">
        <f>Picks!G126</f>
        <v>1.5</v>
      </c>
      <c r="F126" s="177">
        <f>IF(C126="","",INDEX(Odds!K:K,MATCH(C126,Odds!G:G,0)))</f>
        <v>1</v>
      </c>
      <c r="G126" s="177">
        <f>IF(C126="","",Picks!P126)</f>
        <v>1</v>
      </c>
      <c r="H126" s="178">
        <f t="shared" si="98"/>
        <v>0.5</v>
      </c>
      <c r="I126" s="184"/>
      <c r="X126" s="178">
        <f t="shared" si="99"/>
        <v>0.5</v>
      </c>
    </row>
    <row r="127" spans="2:24" ht="13.15" thickBot="1">
      <c r="B127" s="179"/>
      <c r="C127" s="179" t="str">
        <f>Picks!E127</f>
        <v>York</v>
      </c>
      <c r="D127" s="180">
        <f>Picks!F127</f>
        <v>7</v>
      </c>
      <c r="E127" s="180">
        <f>Picks!G127</f>
        <v>1.5</v>
      </c>
      <c r="F127" s="179">
        <f>IF(C127="","",INDEX(Odds!K:K,MATCH(C127,Odds!G:G,0)))</f>
        <v>1</v>
      </c>
      <c r="G127" s="179">
        <f>IF(C127="","",Picks!P127)</f>
        <v>1</v>
      </c>
      <c r="H127" s="180">
        <f t="shared" ref="H127:H133" si="100">IF(C127="","",+((E127-1)*G127*F127*A$2))</f>
        <v>0.5</v>
      </c>
      <c r="I127" s="184"/>
      <c r="X127" s="178">
        <f t="shared" si="99"/>
        <v>0.5</v>
      </c>
    </row>
    <row r="128" spans="2:24">
      <c r="B128" s="178" t="str">
        <f>$V44</f>
        <v>Simon Kimble</v>
      </c>
      <c r="C128" s="177" t="str">
        <f>Picks!E128</f>
        <v>Wycombe</v>
      </c>
      <c r="D128" s="178">
        <f>Picks!F128</f>
        <v>7</v>
      </c>
      <c r="E128" s="178">
        <f>Picks!G128</f>
        <v>2.4500000000000002</v>
      </c>
      <c r="F128" s="177">
        <f>IF(C128="","",INDEX(Odds!K:K,MATCH(C128,Odds!G:G,0)))</f>
        <v>1</v>
      </c>
      <c r="G128" s="177">
        <f>IF(C128="","",Picks!P128)</f>
        <v>0</v>
      </c>
      <c r="H128" s="178">
        <f t="shared" si="100"/>
        <v>0</v>
      </c>
      <c r="I128" s="184"/>
      <c r="X128" s="178">
        <f t="shared" si="99"/>
        <v>1.4500000000000002</v>
      </c>
    </row>
    <row r="129" spans="2:25">
      <c r="B129" s="177"/>
      <c r="C129" s="177" t="str">
        <f>Picks!E129</f>
        <v>Oldham draw</v>
      </c>
      <c r="D129" s="178">
        <f>Picks!F129</f>
        <v>7</v>
      </c>
      <c r="E129" s="178">
        <f>Picks!G129</f>
        <v>3.6</v>
      </c>
      <c r="F129" s="177">
        <f>IF(C129="","",INDEX(Odds!K:K,MATCH(C129,Odds!G:G,0)))</f>
        <v>1</v>
      </c>
      <c r="G129" s="177">
        <f>IF(C129="","",Picks!P129)</f>
        <v>0</v>
      </c>
      <c r="H129" s="178">
        <f t="shared" si="100"/>
        <v>0</v>
      </c>
      <c r="I129" s="184"/>
      <c r="X129" s="178">
        <f t="shared" si="99"/>
        <v>2.6</v>
      </c>
    </row>
    <row r="130" spans="2:25" ht="13.15" thickBot="1">
      <c r="B130" s="179"/>
      <c r="C130" s="179" t="str">
        <f>Picks!E130</f>
        <v>Walsall</v>
      </c>
      <c r="D130" s="180">
        <f>Picks!F130</f>
        <v>7</v>
      </c>
      <c r="E130" s="180">
        <f>Picks!G130</f>
        <v>2.7</v>
      </c>
      <c r="F130" s="179">
        <f>IF(C130="","",INDEX(Odds!K:K,MATCH(C130,Odds!G:G,0)))</f>
        <v>1</v>
      </c>
      <c r="G130" s="179">
        <f>IF(C130="","",Picks!P130)</f>
        <v>0</v>
      </c>
      <c r="H130" s="180">
        <f t="shared" si="100"/>
        <v>0</v>
      </c>
      <c r="I130" s="184"/>
      <c r="X130" s="178">
        <f t="shared" si="99"/>
        <v>1.7000000000000002</v>
      </c>
    </row>
    <row r="131" spans="2:25">
      <c r="B131" s="178" t="str">
        <f>$V45</f>
        <v>Simon Richardson</v>
      </c>
      <c r="C131" s="177" t="str">
        <f>Picks!E131</f>
        <v>Altrincham</v>
      </c>
      <c r="D131" s="178">
        <f>Picks!F131</f>
        <v>1</v>
      </c>
      <c r="E131" s="178">
        <f>Picks!G131</f>
        <v>2.2000000000000002</v>
      </c>
      <c r="F131" s="177">
        <f>IF(C131="","",INDEX(Odds!K:K,MATCH(C131,Odds!G:G,0)))</f>
        <v>1</v>
      </c>
      <c r="G131" s="177">
        <f>IF(C131="","",Picks!P131)</f>
        <v>1</v>
      </c>
      <c r="H131" s="178">
        <f t="shared" si="100"/>
        <v>1.2000000000000002</v>
      </c>
      <c r="I131" s="184"/>
      <c r="X131" s="178">
        <f t="shared" si="99"/>
        <v>1.2000000000000002</v>
      </c>
    </row>
    <row r="132" spans="2:25">
      <c r="B132" s="177"/>
      <c r="C132" s="177" t="str">
        <f>Picks!E132</f>
        <v>Hartlepool</v>
      </c>
      <c r="D132" s="178">
        <f>Picks!F132</f>
        <v>1</v>
      </c>
      <c r="E132" s="178">
        <f>Picks!G132</f>
        <v>3.2</v>
      </c>
      <c r="F132" s="177">
        <f>IF(C132="","",INDEX(Odds!K:K,MATCH(C132,Odds!G:G,0)))</f>
        <v>1</v>
      </c>
      <c r="G132" s="177">
        <f>IF(C132="","",Picks!P132)</f>
        <v>0</v>
      </c>
      <c r="H132" s="178">
        <f t="shared" si="100"/>
        <v>0</v>
      </c>
      <c r="I132" s="184"/>
      <c r="X132" s="178">
        <f t="shared" si="99"/>
        <v>2.2000000000000002</v>
      </c>
    </row>
    <row r="133" spans="2:25" ht="13.15" thickBot="1">
      <c r="B133" s="179"/>
      <c r="C133" s="179" t="str">
        <f>Picks!E133</f>
        <v>Southend</v>
      </c>
      <c r="D133" s="180">
        <f>Picks!F133</f>
        <v>1</v>
      </c>
      <c r="E133" s="180">
        <f>Picks!G133</f>
        <v>1.75</v>
      </c>
      <c r="F133" s="179">
        <f>IF(C133="","",INDEX(Odds!K:K,MATCH(C133,Odds!G:G,0)))</f>
        <v>1</v>
      </c>
      <c r="G133" s="179">
        <f>IF(C133="","",Picks!P133)</f>
        <v>0</v>
      </c>
      <c r="H133" s="180">
        <f t="shared" si="100"/>
        <v>0</v>
      </c>
      <c r="I133" s="184"/>
      <c r="X133" s="178">
        <f t="shared" si="99"/>
        <v>0.75</v>
      </c>
    </row>
    <row r="134" spans="2:25">
      <c r="B134" s="178" t="str">
        <f>$V46</f>
        <v>Stephen Barr</v>
      </c>
      <c r="C134" s="177" t="str">
        <f>Picks!E134</f>
        <v>Bristol R</v>
      </c>
      <c r="D134" s="178">
        <f>Picks!F134</f>
        <v>7</v>
      </c>
      <c r="E134" s="178">
        <f>Picks!G134</f>
        <v>1.7272727272727273</v>
      </c>
      <c r="F134" s="177">
        <f>IF(C134="","",INDEX(Odds!K:K,MATCH(C134,Odds!G:G,0)))</f>
        <v>1</v>
      </c>
      <c r="G134" s="177">
        <f>IF(C134="","",Picks!P134)</f>
        <v>1</v>
      </c>
      <c r="H134" s="178">
        <f t="shared" ref="H134:H136" si="101">IF(C134="","",+((E134-1)*G134*F134*A$2))</f>
        <v>0.72727272727272729</v>
      </c>
      <c r="I134" s="184"/>
      <c r="X134" s="178">
        <f t="shared" si="99"/>
        <v>0.72727272727272729</v>
      </c>
    </row>
    <row r="135" spans="2:25">
      <c r="B135" s="177"/>
      <c r="C135" s="177" t="str">
        <f>Picks!E135</f>
        <v>Plymouth</v>
      </c>
      <c r="D135" s="178">
        <f>Picks!F135</f>
        <v>7</v>
      </c>
      <c r="E135" s="178">
        <f>Picks!G135</f>
        <v>1.6153846153846154</v>
      </c>
      <c r="F135" s="177">
        <f>IF(C135="","",INDEX(Odds!K:K,MATCH(C135,Odds!G:G,0)))</f>
        <v>1</v>
      </c>
      <c r="G135" s="177">
        <f>IF(C135="","",Picks!P135)</f>
        <v>0</v>
      </c>
      <c r="H135" s="178">
        <f t="shared" si="101"/>
        <v>0</v>
      </c>
      <c r="I135" s="184"/>
      <c r="X135" s="178">
        <f t="shared" si="99"/>
        <v>0.61538461538461542</v>
      </c>
    </row>
    <row r="136" spans="2:25" ht="13.15" thickBot="1">
      <c r="B136" s="179"/>
      <c r="C136" s="179" t="str">
        <f>Picks!E136</f>
        <v>Swindon</v>
      </c>
      <c r="D136" s="180">
        <f>Picks!F136</f>
        <v>7</v>
      </c>
      <c r="E136" s="180">
        <f>Picks!G136</f>
        <v>2.0499999999999998</v>
      </c>
      <c r="F136" s="179">
        <f>IF(C136="","",INDEX(Odds!K:K,MATCH(C136,Odds!G:G,0)))</f>
        <v>1</v>
      </c>
      <c r="G136" s="179">
        <f>IF(C136="","",Picks!P136)</f>
        <v>0</v>
      </c>
      <c r="H136" s="180">
        <f t="shared" si="101"/>
        <v>0</v>
      </c>
      <c r="I136" s="184"/>
      <c r="X136" s="178">
        <f t="shared" si="99"/>
        <v>1.0499999999999998</v>
      </c>
    </row>
    <row r="137" spans="2:25">
      <c r="B137" s="178" t="str">
        <f>$V47</f>
        <v>Steve Carter</v>
      </c>
      <c r="C137" s="177" t="str">
        <f>Picks!E137</f>
        <v>Croatia</v>
      </c>
      <c r="D137" s="178">
        <f>Picks!F137</f>
        <v>7</v>
      </c>
      <c r="E137" s="178">
        <f>Picks!G137</f>
        <v>2.15</v>
      </c>
      <c r="F137" s="177">
        <f>IF(C137="","",INDEX(Odds!K:K,MATCH(C137,Odds!G:G,0)))</f>
        <v>1</v>
      </c>
      <c r="G137" s="177">
        <f>IF(C137="","",Picks!P137)</f>
        <v>1</v>
      </c>
      <c r="H137" s="178">
        <f t="shared" ref="H137:H139" si="102">IF(C137="","",+((E137-1)*G137*F137*A$2))</f>
        <v>1.1499999999999999</v>
      </c>
      <c r="I137" s="184"/>
      <c r="X137" s="178">
        <f t="shared" si="99"/>
        <v>1.1499999999999999</v>
      </c>
    </row>
    <row r="138" spans="2:25">
      <c r="B138" s="177"/>
      <c r="C138" s="177" t="str">
        <f>Picks!E138</f>
        <v>Spain</v>
      </c>
      <c r="D138" s="178">
        <f>Picks!F138</f>
        <v>7</v>
      </c>
      <c r="E138" s="178">
        <f>Picks!G138</f>
        <v>2.4</v>
      </c>
      <c r="F138" s="177">
        <f>IF(C138="","",INDEX(Odds!K:K,MATCH(C138,Odds!G:G,0)))</f>
        <v>1</v>
      </c>
      <c r="G138" s="177">
        <f>IF(C138="","",Picks!P138)</f>
        <v>1</v>
      </c>
      <c r="H138" s="178">
        <f t="shared" si="102"/>
        <v>1.4</v>
      </c>
      <c r="I138" s="184"/>
      <c r="X138" s="178">
        <f t="shared" si="99"/>
        <v>1.4</v>
      </c>
    </row>
    <row r="139" spans="2:25" ht="13.15" thickBot="1">
      <c r="B139" s="179"/>
      <c r="C139" s="179" t="str">
        <f>Picks!E139</f>
        <v>Gibraltar</v>
      </c>
      <c r="D139" s="180">
        <f>Picks!F139</f>
        <v>1</v>
      </c>
      <c r="E139" s="180">
        <f>Picks!G139</f>
        <v>3.5</v>
      </c>
      <c r="F139" s="179">
        <f>IF(C139="","",INDEX(Odds!K:K,MATCH(C139,Odds!G:G,0)))</f>
        <v>1</v>
      </c>
      <c r="G139" s="179">
        <f>IF(C139="","",Picks!P139)</f>
        <v>0</v>
      </c>
      <c r="H139" s="180">
        <f t="shared" si="102"/>
        <v>0</v>
      </c>
      <c r="I139" s="184"/>
      <c r="X139" s="178">
        <f t="shared" si="99"/>
        <v>2.5</v>
      </c>
    </row>
    <row r="140" spans="2:25">
      <c r="B140" s="178" t="str">
        <f>$V48</f>
        <v>Steve Waterhouse</v>
      </c>
      <c r="C140" s="177" t="str">
        <f>Picks!E140</f>
        <v>Cambridge</v>
      </c>
      <c r="D140" s="178">
        <f>Picks!F140</f>
        <v>7</v>
      </c>
      <c r="E140" s="178">
        <f>Picks!G140</f>
        <v>1.8</v>
      </c>
      <c r="F140" s="177">
        <f>IF(C140="","",INDEX(Odds!K:K,MATCH(C140,Odds!G:G,0)))</f>
        <v>1</v>
      </c>
      <c r="G140" s="177">
        <f>IF(C140="","",Picks!P140)</f>
        <v>0</v>
      </c>
      <c r="H140" s="178">
        <f t="shared" ref="H140:H151" si="103">IF(C140="","",+((E140-1)*G140*F140*A$2))</f>
        <v>0</v>
      </c>
      <c r="I140" s="184"/>
      <c r="X140" s="178">
        <f t="shared" si="99"/>
        <v>0.8</v>
      </c>
    </row>
    <row r="141" spans="2:25">
      <c r="B141" s="177"/>
      <c r="C141" s="177" t="str">
        <f>Picks!E141</f>
        <v>Grimsby</v>
      </c>
      <c r="D141" s="178">
        <f>Picks!F141</f>
        <v>7</v>
      </c>
      <c r="E141" s="178">
        <f>Picks!G141</f>
        <v>1.8</v>
      </c>
      <c r="F141" s="177">
        <f>IF(C141="","",INDEX(Odds!K:K,MATCH(C141,Odds!G:G,0)))</f>
        <v>1</v>
      </c>
      <c r="G141" s="177">
        <f>IF(C141="","",Picks!P141)</f>
        <v>0</v>
      </c>
      <c r="H141" s="178">
        <f t="shared" si="103"/>
        <v>0</v>
      </c>
      <c r="I141" s="184"/>
      <c r="X141" s="178">
        <f t="shared" si="99"/>
        <v>0.8</v>
      </c>
    </row>
    <row r="142" spans="2:25" ht="13.15" thickBot="1">
      <c r="B142" s="179"/>
      <c r="C142" s="179" t="str">
        <f>Picks!E142</f>
        <v>Stockport</v>
      </c>
      <c r="D142" s="180">
        <f>Picks!F142</f>
        <v>7</v>
      </c>
      <c r="E142" s="180">
        <f>Picks!G142</f>
        <v>1.3636363636363638</v>
      </c>
      <c r="F142" s="179">
        <f>IF(C142="","",INDEX(Odds!K:K,MATCH(C142,Odds!G:G,0)))</f>
        <v>1</v>
      </c>
      <c r="G142" s="179">
        <f>IF(C142="","",Picks!P142)</f>
        <v>1</v>
      </c>
      <c r="H142" s="180">
        <f t="shared" si="103"/>
        <v>0.36363636363636376</v>
      </c>
      <c r="I142" s="184"/>
      <c r="X142" s="178">
        <f t="shared" si="99"/>
        <v>0.36363636363636376</v>
      </c>
      <c r="Y142" s="10" t="s">
        <v>177</v>
      </c>
    </row>
    <row r="143" spans="2:25">
      <c r="B143" s="178" t="str">
        <f>$V49</f>
        <v>Steven Naylor</v>
      </c>
      <c r="C143" s="177" t="str">
        <f>Picks!E143</f>
        <v>Grimsby</v>
      </c>
      <c r="D143" s="178">
        <f>Picks!F143</f>
        <v>7</v>
      </c>
      <c r="E143" s="178">
        <f>Picks!G143</f>
        <v>1.8</v>
      </c>
      <c r="F143" s="177">
        <f>IF(C143="","",INDEX(Odds!K:K,MATCH(C143,Odds!G:G,0)))</f>
        <v>1</v>
      </c>
      <c r="G143" s="177">
        <f>IF(C143="","",Picks!P143)</f>
        <v>0</v>
      </c>
      <c r="H143" s="178">
        <f t="shared" si="103"/>
        <v>0</v>
      </c>
      <c r="I143" s="184"/>
      <c r="X143" s="178">
        <f t="shared" si="99"/>
        <v>0.8</v>
      </c>
    </row>
    <row r="144" spans="2:25">
      <c r="B144" s="177"/>
      <c r="C144" s="177" t="str">
        <f>Picks!E144</f>
        <v>Salford</v>
      </c>
      <c r="D144" s="178">
        <f>Picks!F144</f>
        <v>7</v>
      </c>
      <c r="E144" s="178">
        <f>Picks!G144</f>
        <v>1.85</v>
      </c>
      <c r="F144" s="177">
        <f>IF(C144="","",INDEX(Odds!K:K,MATCH(C144,Odds!G:G,0)))</f>
        <v>1</v>
      </c>
      <c r="G144" s="177">
        <f>IF(C144="","",Picks!P144)</f>
        <v>1</v>
      </c>
      <c r="H144" s="178">
        <f t="shared" si="103"/>
        <v>0.85000000000000009</v>
      </c>
      <c r="I144" s="184"/>
      <c r="X144" s="178">
        <f t="shared" si="99"/>
        <v>0.85000000000000009</v>
      </c>
    </row>
    <row r="145" spans="2:24" ht="13.15" thickBot="1">
      <c r="B145" s="179"/>
      <c r="C145" s="179" t="str">
        <f>Picks!E145</f>
        <v>York</v>
      </c>
      <c r="D145" s="180">
        <f>Picks!F145</f>
        <v>7</v>
      </c>
      <c r="E145" s="180">
        <f>Picks!G145</f>
        <v>1.5</v>
      </c>
      <c r="F145" s="179">
        <f>IF(C145="","",INDEX(Odds!K:K,MATCH(C145,Odds!G:G,0)))</f>
        <v>1</v>
      </c>
      <c r="G145" s="179">
        <f>IF(C145="","",Picks!P145)</f>
        <v>1</v>
      </c>
      <c r="H145" s="180">
        <f t="shared" si="103"/>
        <v>0.5</v>
      </c>
      <c r="I145" s="184"/>
      <c r="X145" s="178">
        <f t="shared" si="99"/>
        <v>0.5</v>
      </c>
    </row>
    <row r="146" spans="2:24">
      <c r="B146" s="178" t="str">
        <f>$V50</f>
        <v>Tom Robinson</v>
      </c>
      <c r="C146" s="177" t="str">
        <f>Picks!E146</f>
        <v>Fleetwood</v>
      </c>
      <c r="D146" s="178">
        <f>Picks!F146</f>
        <v>7</v>
      </c>
      <c r="E146" s="178">
        <f>Picks!G146</f>
        <v>1.85</v>
      </c>
      <c r="F146" s="177">
        <f>IF(C146="","",INDEX(Odds!K:K,MATCH(C146,Odds!G:G,0)))</f>
        <v>1</v>
      </c>
      <c r="G146" s="177">
        <f>IF(C146="","",Picks!P146)</f>
        <v>0</v>
      </c>
      <c r="H146" s="178">
        <f t="shared" si="103"/>
        <v>0</v>
      </c>
      <c r="X146" s="178">
        <f t="shared" si="99"/>
        <v>0.85000000000000009</v>
      </c>
    </row>
    <row r="147" spans="2:24">
      <c r="B147" s="177"/>
      <c r="C147" s="177" t="str">
        <f>Picks!E147</f>
        <v>Tranmere draw</v>
      </c>
      <c r="D147" s="178">
        <f>Picks!F147</f>
        <v>7</v>
      </c>
      <c r="E147" s="178">
        <f>Picks!G147</f>
        <v>3.1</v>
      </c>
      <c r="F147" s="177">
        <f>IF(C147="","",INDEX(Odds!K:K,MATCH(C147,Odds!G:G,0)))</f>
        <v>1</v>
      </c>
      <c r="G147" s="177">
        <f>IF(C147="","",Picks!P147)</f>
        <v>1</v>
      </c>
      <c r="H147" s="178">
        <f t="shared" si="103"/>
        <v>2.1</v>
      </c>
      <c r="X147" s="178">
        <f t="shared" si="99"/>
        <v>2.1</v>
      </c>
    </row>
    <row r="148" spans="2:24" ht="13.15" thickBot="1">
      <c r="B148" s="179"/>
      <c r="C148" s="179" t="str">
        <f>Picks!E148</f>
        <v>York</v>
      </c>
      <c r="D148" s="180">
        <f>Picks!F148</f>
        <v>7</v>
      </c>
      <c r="E148" s="180">
        <f>Picks!G148</f>
        <v>1.5</v>
      </c>
      <c r="F148" s="179">
        <f>IF(C148="","",INDEX(Odds!K:K,MATCH(C148,Odds!G:G,0)))</f>
        <v>1</v>
      </c>
      <c r="G148" s="179">
        <f>IF(C148="","",Picks!P148)</f>
        <v>1</v>
      </c>
      <c r="H148" s="180">
        <f t="shared" si="103"/>
        <v>0.5</v>
      </c>
      <c r="X148" s="178">
        <f t="shared" si="99"/>
        <v>0.5</v>
      </c>
    </row>
    <row r="149" spans="2:24">
      <c r="B149" s="178" t="str">
        <f>$V51</f>
        <v>Vinny Topping</v>
      </c>
      <c r="C149" s="177" t="str">
        <f>Picks!E149</f>
        <v>Bristol R</v>
      </c>
      <c r="D149" s="178">
        <f>Picks!F149</f>
        <v>7</v>
      </c>
      <c r="E149" s="178">
        <f>Picks!G149</f>
        <v>1.7272727272727273</v>
      </c>
      <c r="F149" s="177">
        <f>IF(C149="","",INDEX(Odds!K:K,MATCH(C149,Odds!G:G,0)))</f>
        <v>1</v>
      </c>
      <c r="G149" s="177">
        <f>IF(C149="","",Picks!P149)</f>
        <v>1</v>
      </c>
      <c r="H149" s="178">
        <f t="shared" si="103"/>
        <v>0.72727272727272729</v>
      </c>
      <c r="X149" s="178">
        <f t="shared" si="99"/>
        <v>0.72727272727272729</v>
      </c>
    </row>
    <row r="150" spans="2:24">
      <c r="B150" s="177"/>
      <c r="C150" s="177" t="str">
        <f>Picks!E150</f>
        <v>Fleetwood</v>
      </c>
      <c r="D150" s="178">
        <f>Picks!F150</f>
        <v>7</v>
      </c>
      <c r="E150" s="178">
        <f>Picks!G150</f>
        <v>1.85</v>
      </c>
      <c r="F150" s="177">
        <f>IF(C150="","",INDEX(Odds!K:K,MATCH(C150,Odds!G:G,0)))</f>
        <v>1</v>
      </c>
      <c r="G150" s="177">
        <f>IF(C150="","",Picks!P150)</f>
        <v>0</v>
      </c>
      <c r="H150" s="178">
        <f t="shared" si="103"/>
        <v>0</v>
      </c>
      <c r="X150" s="178">
        <f t="shared" si="99"/>
        <v>0.85000000000000009</v>
      </c>
    </row>
    <row r="151" spans="2:24" ht="13.15" thickBot="1">
      <c r="B151" s="179"/>
      <c r="C151" s="179" t="str">
        <f>Picks!E151</f>
        <v>Swindon</v>
      </c>
      <c r="D151" s="180">
        <f>Picks!F151</f>
        <v>7</v>
      </c>
      <c r="E151" s="180">
        <f>Picks!G151</f>
        <v>2.0499999999999998</v>
      </c>
      <c r="F151" s="179">
        <f>IF(C151="","",INDEX(Odds!K:K,MATCH(C151,Odds!G:G,0)))</f>
        <v>1</v>
      </c>
      <c r="G151" s="179">
        <f>IF(C151="","",Picks!P151)</f>
        <v>0</v>
      </c>
      <c r="H151" s="180">
        <f t="shared" si="103"/>
        <v>0</v>
      </c>
      <c r="X151" s="178">
        <f t="shared" si="99"/>
        <v>1.0499999999999998</v>
      </c>
    </row>
  </sheetData>
  <autoFilter ref="A1:AI244" xr:uid="{00000000-0009-0000-0000-00000C000000}"/>
  <sortState xmlns:xlrd2="http://schemas.microsoft.com/office/spreadsheetml/2017/richdata2" ref="V2:V45">
    <sortCondition ref="V2:V45"/>
  </sortState>
  <phoneticPr fontId="0" type="noConversion"/>
  <hyperlinks>
    <hyperlink ref="A1" location="Menu!A1" display="stake" xr:uid="{00000000-0004-0000-0C00-000000000000}"/>
  </hyperlinks>
  <printOptions gridLines="1"/>
  <pageMargins left="0.74803149606299213" right="0.74803149606299213" top="0.98425196850393704" bottom="0.98425196850393704" header="0.51181102362204722" footer="0.51181102362204722"/>
  <pageSetup paperSize="9" scale="59" orientation="portrait" r:id="rId1"/>
  <headerFooter alignWithMargins="0">
    <oddHeader>&amp;C1a - with corrected "played" formula</oddHeader>
  </headerFooter>
  <ignoredErrors>
    <ignoredError sqref="W2:W26 W27:W45" formulaRange="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7030A0"/>
    <pageSetUpPr fitToPage="1"/>
  </sheetPr>
  <dimension ref="A1:F64"/>
  <sheetViews>
    <sheetView topLeftCell="A12" zoomScaleNormal="100" workbookViewId="0">
      <selection activeCell="C17" sqref="C17"/>
    </sheetView>
  </sheetViews>
  <sheetFormatPr defaultRowHeight="12.75"/>
  <cols>
    <col min="1" max="1" width="12.73046875" customWidth="1"/>
    <col min="2" max="2" width="14.86328125" customWidth="1"/>
    <col min="3" max="3" width="43.3984375" customWidth="1"/>
    <col min="4" max="4" width="38" customWidth="1"/>
  </cols>
  <sheetData>
    <row r="1" spans="1:6" s="132" customFormat="1" ht="24.95" customHeight="1">
      <c r="A1" s="549" t="str">
        <f>CurrentSeason</f>
        <v>PL48</v>
      </c>
      <c r="B1" s="549" t="str">
        <f>"Fixtures &amp; odds for Round "&amp;CurrentWeek</f>
        <v>Fixtures &amp; odds for Round 06</v>
      </c>
      <c r="C1" s="549"/>
      <c r="D1" s="111" t="s">
        <v>152</v>
      </c>
    </row>
    <row r="2" spans="1:6">
      <c r="A2" s="90">
        <f>IF(Match!B2="","",Match!B2)</f>
        <v>46290</v>
      </c>
      <c r="B2" s="59" t="str">
        <f>IF(Match!D2="","",Match!D2)</f>
        <v>Nations</v>
      </c>
      <c r="C2" s="59" t="str">
        <f>IF(Match!U2="","",Match!U2)</f>
        <v>Armenia  v  Latvia   7/10  13/5  19/5</v>
      </c>
      <c r="D2" s="58" t="str">
        <f>IF(Match!V2="","",Match!V2)</f>
        <v xml:space="preserve">Armenia 2-0 Latvia </v>
      </c>
    </row>
    <row r="3" spans="1:6">
      <c r="A3" s="90">
        <f>IF(Match!B3="","",Match!B3)</f>
        <v>46290</v>
      </c>
      <c r="B3" s="59" t="str">
        <f>IF(Match!D3="","",Match!D3)</f>
        <v>Nations</v>
      </c>
      <c r="C3" s="59" t="str">
        <f>IF(Match!U3="","",Match!U3)</f>
        <v>Georgia  v  N Ireland   17/20  12/5  3/1</v>
      </c>
      <c r="D3" s="58" t="str">
        <f>IF(Match!V3="","",Match!V3)</f>
        <v xml:space="preserve">Georgia 0-1 N Ireland </v>
      </c>
      <c r="E3" s="8"/>
    </row>
    <row r="4" spans="1:6">
      <c r="A4" s="90">
        <f>IF(Match!B4="","",Match!B4)</f>
        <v>46290</v>
      </c>
      <c r="B4" s="59" t="str">
        <f>IF(Match!D4="","",Match!D4)</f>
        <v>Nations</v>
      </c>
      <c r="C4" s="59" t="str">
        <f>IF(Match!U4="","",Match!U4)</f>
        <v>Hungary  v  Ukraine   6/5  21/10  11/5</v>
      </c>
      <c r="D4" s="58" t="str">
        <f>IF(Match!V4="","",Match!V4)</f>
        <v xml:space="preserve">Hungary 0-1 Ukraine </v>
      </c>
    </row>
    <row r="5" spans="1:6">
      <c r="A5" s="90">
        <f>IF(Match!B5="","",Match!B5)</f>
        <v>46290</v>
      </c>
      <c r="B5" s="59" t="str">
        <f>IF(Match!D5="","",Match!D5)</f>
        <v>Nations</v>
      </c>
      <c r="C5" s="59" t="str">
        <f>IF(Match!U5="","",Match!U5)</f>
        <v>Italy  v  Belgium   11/10  12/5  21/10</v>
      </c>
      <c r="D5" s="58" t="str">
        <f>IF(Match!V5="","",Match!V5)</f>
        <v xml:space="preserve">Italy 0-2 Belgium </v>
      </c>
    </row>
    <row r="6" spans="1:6">
      <c r="A6" s="90">
        <f>IF(Match!B6="","",Match!B6)</f>
        <v>46290</v>
      </c>
      <c r="B6" s="59" t="str">
        <f>IF(Match!D6="","",Match!D6)</f>
        <v>Nations</v>
      </c>
      <c r="C6" s="59" t="str">
        <f>IF(Match!U6="","",Match!U6)</f>
        <v>Montenegro  v  Cyprus   7/10  5/2  15/4</v>
      </c>
      <c r="D6" s="58" t="str">
        <f>IF(Match!V6="","",Match!V6)</f>
        <v xml:space="preserve">Montenegro 2-1 Cyprus </v>
      </c>
    </row>
    <row r="7" spans="1:6">
      <c r="A7" s="90">
        <f>IF(Match!B7="","",Match!B7)</f>
        <v>46290</v>
      </c>
      <c r="B7" s="59" t="str">
        <f>IF(Match!D7="","",Match!D7)</f>
        <v>Nations</v>
      </c>
      <c r="C7" s="59" t="str">
        <f>IF(Match!U7="","",Match!U7)</f>
        <v>Poland  v  Bosnia   4/6  13/5  19/5</v>
      </c>
      <c r="D7" s="58" t="str">
        <f>IF(Match!V7="","",Match!V7)</f>
        <v xml:space="preserve">Poland 0-0 Bosnia </v>
      </c>
    </row>
    <row r="8" spans="1:6">
      <c r="A8" s="90">
        <f>IF(Match!B8="","",Match!B8)</f>
        <v>46290</v>
      </c>
      <c r="B8" s="59" t="str">
        <f>IF(Match!D8="","",Match!D8)</f>
        <v>Nations</v>
      </c>
      <c r="C8" s="59" t="str">
        <f>IF(Match!U8="","",Match!U8)</f>
        <v>Sweden  v  Romania   1/2  16/5  9/2</v>
      </c>
      <c r="D8" s="58" t="str">
        <f>IF(Match!V8="","",Match!V8)</f>
        <v xml:space="preserve">Sweden 2-1 Romania </v>
      </c>
      <c r="F8" s="8"/>
    </row>
    <row r="9" spans="1:6">
      <c r="A9" s="90">
        <f>IF(Match!B9="","",Match!B9)</f>
        <v>46290</v>
      </c>
      <c r="B9" s="59" t="str">
        <f>IF(Match!D9="","",Match!D9)</f>
        <v>Nations</v>
      </c>
      <c r="C9" s="59" t="str">
        <f>IF(Match!U9="","",Match!U9)</f>
        <v>Turkey  v  France   5/1  10/3  4/9</v>
      </c>
      <c r="D9" s="58" t="str">
        <f>IF(Match!V9="","",Match!V9)</f>
        <v xml:space="preserve">Turkey 0-1 France </v>
      </c>
      <c r="F9" s="8"/>
    </row>
    <row r="10" spans="1:6">
      <c r="A10" s="90">
        <f>IF(Match!B10="","",Match!B10)</f>
        <v>46291</v>
      </c>
      <c r="B10" s="59" t="str">
        <f>IF(Match!D10="","",Match!D10)</f>
        <v>League 1</v>
      </c>
      <c r="C10" s="59" t="str">
        <f>IF(Match!U10="","",Match!U10)</f>
        <v>Cambridge  v  Wimbledon   4/5  12/5  3/1</v>
      </c>
      <c r="D10" s="58" t="str">
        <f>IF(Match!V10="","",Match!V10)</f>
        <v xml:space="preserve">Cambridge 1-1 Wimbledon </v>
      </c>
    </row>
    <row r="11" spans="1:6">
      <c r="A11" s="90">
        <f>IF(Match!B11="","",Match!B11)</f>
        <v>46291</v>
      </c>
      <c r="B11" s="59" t="str">
        <f>IF(Match!D11="","",Match!D11)</f>
        <v>League 1</v>
      </c>
      <c r="C11" s="59" t="str">
        <f>IF(Match!U11="","",Match!U11)</f>
        <v>Plymouth  v  Burton   8/13  14/5  18/5</v>
      </c>
      <c r="D11" s="58" t="str">
        <f>IF(Match!V11="","",Match!V11)</f>
        <v xml:space="preserve">Plymouth 0-1 Burton </v>
      </c>
    </row>
    <row r="12" spans="1:6">
      <c r="A12" s="90">
        <f>IF(Match!B12="","",Match!B12)</f>
        <v>46291</v>
      </c>
      <c r="B12" s="59" t="str">
        <f>IF(Match!D12="","",Match!D12)</f>
        <v>League 1</v>
      </c>
      <c r="C12" s="14" t="str">
        <f>IF(Match!U12="","",Match!U12)</f>
        <v>Stockport  v  Peterbro   4/11  19/5  11/2</v>
      </c>
      <c r="D12" s="58" t="str">
        <f>IF(Match!V12="","",Match!V12)</f>
        <v xml:space="preserve">Stockport 1-0 Peterbro </v>
      </c>
    </row>
    <row r="13" spans="1:6">
      <c r="A13" s="90">
        <f>IF(Match!B13="","",Match!B13)</f>
        <v>46291</v>
      </c>
      <c r="B13" s="59" t="str">
        <f>IF(Match!D13="","",Match!D13)</f>
        <v>League 1</v>
      </c>
      <c r="C13" s="59" t="str">
        <f>IF(Match!U13="","",Match!U13)</f>
        <v>Wycombe  v  Reading   29/20  12/5  6/4</v>
      </c>
      <c r="D13" s="58" t="str">
        <f>IF(Match!V13="","",Match!V13)</f>
        <v xml:space="preserve">Wycombe 2-2 Reading </v>
      </c>
    </row>
    <row r="14" spans="1:6">
      <c r="A14" s="90">
        <f>IF(Match!B14="","",Match!B14)</f>
        <v>46291</v>
      </c>
      <c r="B14" s="59" t="str">
        <f>IF(Match!D14="","",Match!D14)</f>
        <v>League 2</v>
      </c>
      <c r="C14" s="59" t="str">
        <f>IF(Match!U14="","",Match!U14)</f>
        <v>Bristol R  v  Exeter   8/11  14/5  3/1</v>
      </c>
      <c r="D14" s="58" t="str">
        <f>IF(Match!V14="","",Match!V14)</f>
        <v xml:space="preserve">Bristol R 1-0 Exeter </v>
      </c>
    </row>
    <row r="15" spans="1:6">
      <c r="A15" s="90">
        <f>IF(Match!B15="","",Match!B15)</f>
        <v>46291</v>
      </c>
      <c r="B15" s="59" t="str">
        <f>IF(Match!D15="","",Match!D15)</f>
        <v>League 2</v>
      </c>
      <c r="C15" s="59" t="str">
        <f>IF(Match!U15="","",Match!U15)</f>
        <v>Cheltenham  v  Chesterfield   19/10  5/2  23/20</v>
      </c>
      <c r="D15" s="58" t="str">
        <f>IF(Match!V15="","",Match!V15)</f>
        <v xml:space="preserve">Cheltenham 2-1 Chesterfield </v>
      </c>
    </row>
    <row r="16" spans="1:6">
      <c r="A16" s="90">
        <f>IF(Match!B16="","",Match!B16)</f>
        <v>46291</v>
      </c>
      <c r="B16" s="59" t="str">
        <f>IF(Match!D16="","",Match!D16)</f>
        <v>League 2</v>
      </c>
      <c r="C16" s="59" t="str">
        <f>IF(Match!U16="","",Match!U16)</f>
        <v>Fleetwood  v  Rochdale   17/20  5/2  14/5</v>
      </c>
      <c r="D16" s="58" t="str">
        <f>IF(Match!V16="","",Match!V16)</f>
        <v xml:space="preserve">Fleetwood 1-2 Rochdale </v>
      </c>
      <c r="F16" s="8"/>
    </row>
    <row r="17" spans="1:6">
      <c r="A17" s="90">
        <f>IF(Match!B17="","",Match!B17)</f>
        <v>46291</v>
      </c>
      <c r="B17" s="59" t="str">
        <f>IF(Match!D17="","",Match!D17)</f>
        <v>League 2</v>
      </c>
      <c r="C17" s="59" t="str">
        <f>IF(Match!U17="","",Match!U17)</f>
        <v>Newport  v  Grimsby   3/1  12/5  4/5</v>
      </c>
      <c r="D17" s="58" t="str">
        <f>IF(Match!V17="","",Match!V17)</f>
        <v xml:space="preserve">Newport 2-1 Grimsby </v>
      </c>
    </row>
    <row r="18" spans="1:6">
      <c r="A18" s="90">
        <f>IF(Match!B18="","",Match!B18)</f>
        <v>46291</v>
      </c>
      <c r="B18" s="59" t="str">
        <f>IF(Match!D18="","",Match!D18)</f>
        <v>League 2</v>
      </c>
      <c r="C18" s="59" t="str">
        <f>IF(Match!U18="","",Match!U18)</f>
        <v>Oldham  v  Salford   6/4  13/5  17/20</v>
      </c>
      <c r="D18" s="58" t="str">
        <f>IF(Match!V18="","",Match!V18)</f>
        <v xml:space="preserve">Oldham 1-4 Salford </v>
      </c>
    </row>
    <row r="19" spans="1:6">
      <c r="A19" s="90">
        <f>IF(Match!B19="","",Match!B19)</f>
        <v>46291</v>
      </c>
      <c r="B19" s="59" t="str">
        <f>IF(Match!D19="","",Match!D19)</f>
        <v>League 2</v>
      </c>
      <c r="C19" s="59" t="str">
        <f>IF(Match!U19="","",Match!U19)</f>
        <v>Rotherham  v  Crewe   11/10  12/5  21/10</v>
      </c>
      <c r="D19" s="58" t="str">
        <f>IF(Match!V19="","",Match!V19)</f>
        <v xml:space="preserve">Rotherham 1-1 Crewe </v>
      </c>
      <c r="E19" s="8"/>
    </row>
    <row r="20" spans="1:6">
      <c r="A20" s="90">
        <f>IF(Match!B20="","",Match!B20)</f>
        <v>46291</v>
      </c>
      <c r="B20" s="59" t="str">
        <f>IF(Match!D20="","",Match!D20)</f>
        <v>League 2</v>
      </c>
      <c r="C20" s="59" t="str">
        <f>IF(Match!U20="","",Match!U20)</f>
        <v>Shrewsbury  v  Colchester   6/4  2/1  17/10</v>
      </c>
      <c r="D20" s="58" t="str">
        <f>IF(Match!V20="","",Match!V20)</f>
        <v xml:space="preserve">Shrewsbury 2-2 Colchester </v>
      </c>
    </row>
    <row r="21" spans="1:6">
      <c r="A21" s="90">
        <f>IF(Match!B21="","",Match!B21)</f>
        <v>46291</v>
      </c>
      <c r="B21" s="59" t="str">
        <f>IF(Match!D21="","",Match!D21)</f>
        <v>League 2</v>
      </c>
      <c r="C21" s="59" t="str">
        <f>IF(Match!U21="","",Match!U21)</f>
        <v>Swindon  v  Accrington   21/20  12/5  11/5</v>
      </c>
      <c r="D21" s="58" t="str">
        <f>IF(Match!V21="","",Match!V21)</f>
        <v xml:space="preserve">Swindon 1-1 Accrington </v>
      </c>
    </row>
    <row r="22" spans="1:6">
      <c r="A22" s="90">
        <f>IF(Match!B22="","",Match!B22)</f>
        <v>46291</v>
      </c>
      <c r="B22" s="59" t="str">
        <f>IF(Match!D22="","",Match!D22)</f>
        <v>League 2</v>
      </c>
      <c r="C22" s="59" t="str">
        <f>IF(Match!U22="","",Match!U22)</f>
        <v>Tranmere  v  Walsall   6/4  21/10  17/10</v>
      </c>
      <c r="D22" s="58" t="str">
        <f>IF(Match!V22="","",Match!V22)</f>
        <v xml:space="preserve">Tranmere 1-1 Walsall </v>
      </c>
    </row>
    <row r="23" spans="1:6">
      <c r="A23" s="90">
        <f>IF(Match!B23="","",Match!B23)</f>
        <v>46291</v>
      </c>
      <c r="B23" s="59" t="str">
        <f>IF(Match!D23="","",Match!D23)</f>
        <v>League 2</v>
      </c>
      <c r="C23" s="59" t="str">
        <f>IF(Match!U23="","",Match!U23)</f>
        <v>York  v  Gillingham   1/2  17/5  4/1</v>
      </c>
      <c r="D23" s="58" t="str">
        <f>IF(Match!V23="","",Match!V23)</f>
        <v xml:space="preserve">York 3-0 Gillingham </v>
      </c>
      <c r="F23" s="8"/>
    </row>
    <row r="24" spans="1:6">
      <c r="A24" s="90">
        <f>IF(Match!B24="","",Match!B24)</f>
        <v>46291</v>
      </c>
      <c r="B24" s="59" t="str">
        <f>IF(Match!D24="","",Match!D24)</f>
        <v>Nations</v>
      </c>
      <c r="C24" s="59" t="str">
        <f>IF(Match!U24="","",Match!U24)</f>
        <v>Albania  v  Belarus   1/2  14/5  6/1</v>
      </c>
      <c r="D24" s="58" t="str">
        <f>IF(Match!V24="","",Match!V24)</f>
        <v xml:space="preserve">Albania 2-0 Belarus </v>
      </c>
    </row>
    <row r="25" spans="1:6">
      <c r="A25" s="90">
        <f>IF(Match!B25="","",Match!B25)</f>
        <v>46291</v>
      </c>
      <c r="B25" s="59" t="str">
        <f>IF(Match!D25="","",Match!D25)</f>
        <v>Nations</v>
      </c>
      <c r="C25" s="59" t="str">
        <f>IF(Match!U25="","",Match!U25)</f>
        <v>Bulgaria  v  Luxembourg   6/5  2/1  23/10</v>
      </c>
      <c r="D25" s="58" t="str">
        <f>IF(Match!V25="","",Match!V25)</f>
        <v xml:space="preserve">Bulgaria 1-2 Luxembourg </v>
      </c>
      <c r="F25" s="8"/>
    </row>
    <row r="26" spans="1:6">
      <c r="A26" s="90">
        <f>IF(Match!B26="","",Match!B26)</f>
        <v>46291</v>
      </c>
      <c r="B26" s="59" t="str">
        <f>IF(Match!D26="","",Match!D26)</f>
        <v>Nations</v>
      </c>
      <c r="C26" s="59" t="str">
        <f>IF(Match!U26="","",Match!U26)</f>
        <v>Czech  v  Croatia   11/5  23/10  23/20</v>
      </c>
      <c r="D26" s="58" t="str">
        <f>IF(Match!V26="","",Match!V26)</f>
        <v xml:space="preserve">Czech 1-2 Croatia </v>
      </c>
    </row>
    <row r="27" spans="1:6">
      <c r="A27" s="90">
        <f>IF(Match!B27="","",Match!B27)</f>
        <v>46291</v>
      </c>
      <c r="B27" s="59" t="str">
        <f>IF(Match!D27="","",Match!D27)</f>
        <v>Nations</v>
      </c>
      <c r="C27" s="59" t="str">
        <f>IF(Match!U27="","",Match!U27)</f>
        <v>England  v  Spain   9/5  21/10  7/5</v>
      </c>
      <c r="D27" s="58" t="str">
        <f>IF(Match!V27="","",Match!V27)</f>
        <v xml:space="preserve">England 2-3 Spain </v>
      </c>
    </row>
    <row r="28" spans="1:6">
      <c r="A28" s="90">
        <f>IF(Match!B28="","",Match!B28)</f>
        <v>46291</v>
      </c>
      <c r="B28" s="59" t="str">
        <f>IF(Match!D28="","",Match!D28)</f>
        <v>Nations</v>
      </c>
      <c r="C28" s="59" t="str">
        <f>IF(Match!U28="","",Match!U28)</f>
        <v>Faroe Islands  v  Kazakhstan   13/10  2/1  21/10</v>
      </c>
      <c r="D28" s="58" t="str">
        <f>IF(Match!V28="","",Match!V28)</f>
        <v xml:space="preserve">Faroe Islands 1-1 Kazakhstan </v>
      </c>
    </row>
    <row r="29" spans="1:6">
      <c r="A29" s="90">
        <f>IF(Match!B29="","",Match!B29)</f>
        <v>46291</v>
      </c>
      <c r="B29" s="59" t="str">
        <f>IF(Match!D29="","",Match!D29)</f>
        <v>Nations</v>
      </c>
      <c r="C29" s="59" t="str">
        <f>IF(Match!U29="","",Match!U29)</f>
        <v>Iceland  v  Estonia   2/7  4/1  9/1</v>
      </c>
      <c r="D29" s="58" t="str">
        <f>IF(Match!V29="","",Match!V29)</f>
        <v xml:space="preserve">Iceland 1-1 Estonia </v>
      </c>
    </row>
    <row r="30" spans="1:6">
      <c r="A30" s="90">
        <f>IF(Match!B30="","",Match!B30)</f>
        <v>46291</v>
      </c>
      <c r="B30" s="59" t="str">
        <f>IF(Match!D30="","",Match!D30)</f>
        <v>Nations</v>
      </c>
      <c r="C30" s="59" t="str">
        <f>IF(Match!U30="","",Match!U30)</f>
        <v>Macedonia  v  Switzerland   13/2  7/2  4/11</v>
      </c>
      <c r="D30" s="58" t="str">
        <f>IF(Match!V30="","",Match!V30)</f>
        <v xml:space="preserve">Macedonia 0-3 Switzerland </v>
      </c>
    </row>
    <row r="31" spans="1:6">
      <c r="A31" s="90">
        <f>IF(Match!B31="","",Match!B31)</f>
        <v>46291</v>
      </c>
      <c r="B31" s="59" t="str">
        <f>IF(Match!D31="","",Match!D31)</f>
        <v>Nations</v>
      </c>
      <c r="C31" s="59" t="str">
        <f>IF(Match!U31="","",Match!U31)</f>
        <v>San Marino  v  Finland   35/1  15/2  1/10</v>
      </c>
      <c r="D31" s="58" t="str">
        <f>IF(Match!V31="","",Match!V31)</f>
        <v xml:space="preserve">San Marino 0-7 Finland </v>
      </c>
    </row>
    <row r="32" spans="1:6">
      <c r="A32" s="90">
        <f>IF(Match!B32="","",Match!B32)</f>
        <v>46291</v>
      </c>
      <c r="B32" s="59" t="str">
        <f>IF(Match!D32="","",Match!D32)</f>
        <v>Nations</v>
      </c>
      <c r="C32" s="59" t="str">
        <f>IF(Match!U32="","",Match!U32)</f>
        <v>Slovakia  v  Moldova   1/4  4/1  10/1</v>
      </c>
      <c r="D32" s="58" t="str">
        <f>IF(Match!V32="","",Match!V32)</f>
        <v xml:space="preserve">Slovakia 2-0 Moldova </v>
      </c>
    </row>
    <row r="33" spans="1:5">
      <c r="A33" s="90">
        <f>IF(Match!B33="","",Match!B33)</f>
        <v>46291</v>
      </c>
      <c r="B33" s="59" t="str">
        <f>IF(Match!D33="","",Match!D33)</f>
        <v>Nations</v>
      </c>
      <c r="C33" s="59" t="str">
        <f>IF(Match!U33="","",Match!U33)</f>
        <v>Slovenia  v  Scotland   8/5  2/1  17/10</v>
      </c>
      <c r="D33" s="58" t="str">
        <f>IF(Match!V33="","",Match!V33)</f>
        <v xml:space="preserve">Slovenia 0-0 Scotland </v>
      </c>
    </row>
    <row r="34" spans="1:5">
      <c r="A34" s="90">
        <f>IF(Match!B34="","",Match!B34)</f>
        <v>46292</v>
      </c>
      <c r="B34" s="59" t="str">
        <f>IF(Match!D34="","",Match!D34)</f>
        <v>Nat League</v>
      </c>
      <c r="C34" s="59" t="str">
        <f>IF(Match!U34="","",Match!U34)</f>
        <v>Aldershot  v  Tamworth   7/5  5/2  6/4</v>
      </c>
      <c r="D34" s="58" t="str">
        <f>IF(Match!V34="","",Match!V34)</f>
        <v xml:space="preserve">Aldershot 5-1 Tamworth </v>
      </c>
    </row>
    <row r="35" spans="1:5">
      <c r="A35" s="90">
        <f>IF(Match!B35="","",Match!B35)</f>
        <v>46292</v>
      </c>
      <c r="B35" s="59" t="str">
        <f>IF(Match!D35="","",Match!D35)</f>
        <v>Nat League</v>
      </c>
      <c r="C35" s="59" t="str">
        <f>IF(Match!U35="","",Match!U35)</f>
        <v>Altrincham  v  AFC Hornchurch   6/5  23/10  19/10</v>
      </c>
      <c r="D35" s="58" t="str">
        <f>IF(Match!V35="","",Match!V35)</f>
        <v xml:space="preserve">Altrincham 3-0 AFC Hornchurch </v>
      </c>
    </row>
    <row r="36" spans="1:5">
      <c r="A36" s="90">
        <f>IF(Match!B36="","",Match!B36)</f>
        <v>46292</v>
      </c>
      <c r="B36" s="59" t="str">
        <f>IF(Match!D36="","",Match!D36)</f>
        <v>Nat League</v>
      </c>
      <c r="C36" s="59" t="str">
        <f>IF(Match!U36="","",Match!U36)</f>
        <v>Scunthorpe  v  Hartlepool   21/20  12/5  11/5</v>
      </c>
      <c r="D36" s="58" t="str">
        <f>IF(Match!V36="","",Match!V36)</f>
        <v xml:space="preserve">Scunthorpe 4-1 Hartlepool </v>
      </c>
    </row>
    <row r="37" spans="1:5">
      <c r="A37" s="90">
        <f>IF(Match!B37="","",Match!B37)</f>
        <v>46292</v>
      </c>
      <c r="B37" s="59" t="str">
        <f>IF(Match!D37="","",Match!D37)</f>
        <v>Nat League</v>
      </c>
      <c r="C37" s="59" t="str">
        <f>IF(Match!U37="","",Match!U37)</f>
        <v>Southend  v  Barrow   3/4  13/5  3/1</v>
      </c>
      <c r="D37" s="58" t="str">
        <f>IF(Match!V37="","",Match!V37)</f>
        <v xml:space="preserve">Southend 2-4 Barrow </v>
      </c>
    </row>
    <row r="38" spans="1:5">
      <c r="A38" s="90">
        <f>IF(Match!B38="","",Match!B38)</f>
        <v>46292</v>
      </c>
      <c r="B38" s="59" t="str">
        <f>IF(Match!D38="","",Match!D38)</f>
        <v>Nations</v>
      </c>
      <c r="C38" s="59" t="str">
        <f>IF(Match!U38="","",Match!U38)</f>
        <v>Austria  v  Kosovo   1/2  3/1  24/5</v>
      </c>
      <c r="D38" s="58" t="str">
        <f>IF(Match!V38="","",Match!V38)</f>
        <v xml:space="preserve">Austria 3-1 Kosovo </v>
      </c>
    </row>
    <row r="39" spans="1:5">
      <c r="A39" s="90">
        <f>IF(Match!B39="","",Match!B39)</f>
        <v>46292</v>
      </c>
      <c r="B39" s="59" t="str">
        <f>IF(Match!D39="","",Match!D39)</f>
        <v>Nations</v>
      </c>
      <c r="C39" s="59" t="str">
        <f>IF(Match!U39="","",Match!U39)</f>
        <v>Denmark  v  Wales   13/20  27/10  4/1</v>
      </c>
      <c r="D39" s="58" t="str">
        <f>IF(Match!V39="","",Match!V39)</f>
        <v xml:space="preserve">Denmark 2-0 Wales </v>
      </c>
    </row>
    <row r="40" spans="1:5">
      <c r="A40" s="90">
        <f>IF(Match!B40="","",Match!B40)</f>
        <v>46292</v>
      </c>
      <c r="B40" s="59" t="str">
        <f>IF(Match!D40="","",Match!D40)</f>
        <v>Nations</v>
      </c>
      <c r="C40" s="59" t="str">
        <f>IF(Match!U40="","",Match!U40)</f>
        <v>Germany  v  Greece   4/11  19/5  6/1</v>
      </c>
      <c r="D40" s="58" t="str">
        <f>IF(Match!V40="","",Match!V40)</f>
        <v xml:space="preserve">Germany 0-1 Greece </v>
      </c>
      <c r="E40" s="8"/>
    </row>
    <row r="41" spans="1:5">
      <c r="A41" s="90">
        <f>IF(Match!B41="","",Match!B41)</f>
        <v>46292</v>
      </c>
      <c r="B41" s="59" t="str">
        <f>IF(Match!D41="","",Match!D41)</f>
        <v>Nations</v>
      </c>
      <c r="C41" s="59" t="str">
        <f>IF(Match!U41="","",Match!U41)</f>
        <v>Gibraltar  v  Andorra   5/2  23/12  6/4</v>
      </c>
      <c r="D41" s="58" t="str">
        <f>IF(Match!V41="","",Match!V41)</f>
        <v xml:space="preserve">Gibraltar 0-0 Andorra </v>
      </c>
    </row>
    <row r="42" spans="1:5">
      <c r="A42" s="90">
        <f>IF(Match!B42="","",Match!B42)</f>
        <v>46292</v>
      </c>
      <c r="B42" s="59" t="str">
        <f>IF(Match!D42="","",Match!D42)</f>
        <v>Nations</v>
      </c>
      <c r="C42" s="59" t="str">
        <f>IF(Match!U42="","",Match!U42)</f>
        <v>Israel  v  Ireland   6/4  21/10  13/8</v>
      </c>
      <c r="D42" s="58" t="str">
        <f>IF(Match!V42="","",Match!V42)</f>
        <v xml:space="preserve">Israel 0-3 Ireland </v>
      </c>
    </row>
    <row r="43" spans="1:5">
      <c r="A43" s="90">
        <f>IF(Match!B43="","",Match!B43)</f>
        <v>46292</v>
      </c>
      <c r="B43" s="59" t="str">
        <f>IF(Match!D43="","",Match!D43)</f>
        <v>Nations</v>
      </c>
      <c r="C43" s="59" t="str">
        <f>IF(Match!U43="","",Match!U43)</f>
        <v>Lithuania  v  Azerbaijan   6/4  21/10  2/1</v>
      </c>
      <c r="D43" s="58" t="str">
        <f>IF(Match!V43="","",Match!V43)</f>
        <v xml:space="preserve">Lithuania 1-1 Azerbaijan </v>
      </c>
    </row>
    <row r="44" spans="1:5">
      <c r="A44" s="90">
        <f>IF(Match!B44="","",Match!B44)</f>
        <v>46292</v>
      </c>
      <c r="B44" s="59" t="str">
        <f>IF(Match!D44="","",Match!D44)</f>
        <v>Nations</v>
      </c>
      <c r="C44" s="59" t="str">
        <f>IF(Match!U44="","",Match!U44)</f>
        <v>Norway  v  Portugal   13/8  23/10  6/4</v>
      </c>
      <c r="D44" s="58" t="str">
        <f>IF(Match!V44="","",Match!V44)</f>
        <v xml:space="preserve">Norway 1-2 Portugal </v>
      </c>
    </row>
    <row r="45" spans="1:5">
      <c r="A45" s="90">
        <f>IF(Match!B45="","",Match!B45)</f>
        <v>46292</v>
      </c>
      <c r="B45" s="59" t="str">
        <f>IF(Match!D45="","",Match!D45)</f>
        <v>Nations</v>
      </c>
      <c r="C45" s="14" t="str">
        <f>IF(Match!U45="","",Match!U45)</f>
        <v>Serbia  v  Netherlands   4/1  14/5  8/13</v>
      </c>
      <c r="D45" s="58" t="str">
        <f>IF(Match!V45="","",Match!V45)</f>
        <v xml:space="preserve">Serbia 1-2 Netherlands </v>
      </c>
    </row>
    <row r="46" spans="1:5">
      <c r="A46" s="90" t="str">
        <f>IF(Match!B46="","",Match!B46)</f>
        <v/>
      </c>
      <c r="B46" s="59" t="str">
        <f>IF(Match!D46="","",Match!D46)</f>
        <v/>
      </c>
      <c r="C46" s="59" t="str">
        <f>IF(Match!U46="","",Match!U46)</f>
        <v/>
      </c>
      <c r="D46" s="58" t="str">
        <f>IF(Match!V46="","",Match!V46)</f>
        <v xml:space="preserve"> -  </v>
      </c>
    </row>
    <row r="47" spans="1:5">
      <c r="A47" s="90" t="str">
        <f>IF(Match!B47="","",Match!B47)</f>
        <v/>
      </c>
      <c r="B47" s="59" t="str">
        <f>IF(Match!D47="","",Match!D47)</f>
        <v/>
      </c>
      <c r="C47" s="58" t="str">
        <f>IF(Match!U47="","",Match!U47)</f>
        <v/>
      </c>
      <c r="D47" s="58" t="str">
        <f>IF(Match!V47="","",Match!V47)</f>
        <v xml:space="preserve"> -  </v>
      </c>
    </row>
    <row r="48" spans="1:5">
      <c r="A48" s="90"/>
      <c r="B48" s="59"/>
      <c r="C48" s="58"/>
      <c r="D48" s="58"/>
    </row>
    <row r="49" spans="1:4">
      <c r="A49" s="90"/>
      <c r="B49" s="59"/>
      <c r="C49" s="58"/>
      <c r="D49" s="58"/>
    </row>
    <row r="50" spans="1:4">
      <c r="A50" s="90"/>
      <c r="B50" s="59"/>
      <c r="C50" s="58"/>
      <c r="D50" s="58"/>
    </row>
    <row r="51" spans="1:4">
      <c r="A51" s="90"/>
      <c r="B51" s="59"/>
      <c r="C51" s="58"/>
      <c r="D51" s="58"/>
    </row>
    <row r="52" spans="1:4">
      <c r="A52" s="90"/>
      <c r="B52" s="59"/>
      <c r="C52" s="58"/>
      <c r="D52" s="58"/>
    </row>
    <row r="53" spans="1:4">
      <c r="A53" s="90"/>
      <c r="B53" s="59"/>
      <c r="C53" s="58"/>
      <c r="D53" s="58"/>
    </row>
    <row r="54" spans="1:4">
      <c r="A54" s="90"/>
      <c r="B54" s="59"/>
      <c r="C54" s="58"/>
      <c r="D54" s="58"/>
    </row>
    <row r="55" spans="1:4">
      <c r="A55" s="90"/>
      <c r="B55" s="59"/>
      <c r="C55" s="58"/>
      <c r="D55" s="58"/>
    </row>
    <row r="56" spans="1:4">
      <c r="A56" s="90"/>
      <c r="B56" s="59"/>
      <c r="C56" s="58"/>
      <c r="D56" s="58"/>
    </row>
    <row r="57" spans="1:4">
      <c r="A57" s="90"/>
      <c r="B57" s="59"/>
      <c r="C57" s="58"/>
      <c r="D57" s="58"/>
    </row>
    <row r="58" spans="1:4">
      <c r="A58" s="90"/>
      <c r="B58" s="59"/>
      <c r="C58" s="58"/>
      <c r="D58" s="58"/>
    </row>
    <row r="59" spans="1:4">
      <c r="A59" s="90"/>
      <c r="B59" s="59"/>
      <c r="C59" s="58"/>
      <c r="D59" s="58"/>
    </row>
    <row r="60" spans="1:4">
      <c r="A60" s="90"/>
      <c r="B60" s="59"/>
      <c r="C60" s="58"/>
      <c r="D60" s="58"/>
    </row>
    <row r="61" spans="1:4">
      <c r="A61" s="90"/>
      <c r="B61" s="59"/>
      <c r="C61" s="58"/>
      <c r="D61" s="58"/>
    </row>
    <row r="62" spans="1:4">
      <c r="A62" s="90"/>
      <c r="B62" s="59"/>
      <c r="C62" s="58"/>
      <c r="D62" s="58"/>
    </row>
    <row r="63" spans="1:4">
      <c r="A63" s="90"/>
      <c r="B63" s="59"/>
      <c r="C63" s="58"/>
      <c r="D63" s="58"/>
    </row>
    <row r="64" spans="1:4">
      <c r="A64" s="90"/>
      <c r="B64" s="59"/>
      <c r="C64" s="58"/>
      <c r="D64" s="58"/>
    </row>
  </sheetData>
  <hyperlinks>
    <hyperlink ref="A1" location="Menu!A1" display="Date" xr:uid="{00000000-0004-0000-0400-000000000000}"/>
  </hyperlinks>
  <pageMargins left="0.70866141732283472" right="0.70866141732283472" top="0.94488188976377963" bottom="0.74803149606299213" header="0.31496062992125984" footer="0.31496062992125984"/>
  <pageSetup paperSize="9" orientation="portrait" horizontalDpi="360" verticalDpi="360" r:id="rId1"/>
  <headerFooter>
    <oddHeader xml:space="preserve">&amp;R&amp;24&amp;K7030A0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6">
    <tabColor rgb="FF7030A0"/>
    <pageSetUpPr fitToPage="1"/>
  </sheetPr>
  <dimension ref="A1:BF161"/>
  <sheetViews>
    <sheetView topLeftCell="B1" zoomScaleNormal="100" workbookViewId="0">
      <selection activeCell="N2" sqref="N2:Q34"/>
    </sheetView>
  </sheetViews>
  <sheetFormatPr defaultRowHeight="12.75"/>
  <cols>
    <col min="1" max="1" width="5.3984375" style="76" customWidth="1"/>
    <col min="2" max="2" width="10.59765625" customWidth="1"/>
    <col min="3" max="3" width="30.59765625" customWidth="1"/>
    <col min="4" max="4" width="8.265625" customWidth="1"/>
    <col min="5" max="5" width="4" customWidth="1"/>
    <col min="6" max="6" width="7.265625" customWidth="1"/>
    <col min="7" max="7" width="3.73046875" customWidth="1"/>
    <col min="8" max="8" width="10.59765625" customWidth="1"/>
    <col min="9" max="9" width="30.59765625" customWidth="1"/>
    <col min="10" max="10" width="8.265625" customWidth="1"/>
    <col min="11" max="11" width="3.265625" customWidth="1"/>
    <col min="12" max="12" width="7.265625" customWidth="1"/>
    <col min="13" max="13" width="4.59765625" customWidth="1"/>
    <col min="14" max="14" width="10.59765625" customWidth="1"/>
    <col min="15" max="15" width="30.59765625" customWidth="1"/>
    <col min="16" max="16" width="8.265625" customWidth="1"/>
    <col min="17" max="17" width="3.265625" customWidth="1"/>
    <col min="18" max="18" width="7.265625" customWidth="1"/>
    <col min="19" max="19" width="4.59765625" customWidth="1"/>
    <col min="20" max="20" width="10.59765625" customWidth="1"/>
    <col min="21" max="21" width="30.59765625" customWidth="1"/>
    <col min="22" max="22" width="8.265625" customWidth="1"/>
    <col min="23" max="23" width="3.265625" customWidth="1"/>
    <col min="25" max="25" width="10.59765625" customWidth="1"/>
    <col min="26" max="26" width="30.59765625" customWidth="1"/>
    <col min="27" max="27" width="8.265625" customWidth="1"/>
    <col min="28" max="28" width="3.265625" customWidth="1"/>
    <col min="30" max="30" width="10.59765625" customWidth="1"/>
    <col min="31" max="31" width="30.59765625" customWidth="1"/>
    <col min="32" max="32" width="8.265625" customWidth="1"/>
    <col min="33" max="33" width="3.265625" customWidth="1"/>
    <col min="35" max="35" width="10.59765625" customWidth="1"/>
    <col min="36" max="36" width="30.59765625" customWidth="1"/>
    <col min="37" max="37" width="8.265625" customWidth="1"/>
    <col min="38" max="38" width="3.265625" customWidth="1"/>
  </cols>
  <sheetData>
    <row r="1" spans="1:58" s="76" customFormat="1">
      <c r="A1" s="336" t="s">
        <v>331</v>
      </c>
    </row>
    <row r="2" spans="1:58" s="203" customFormat="1" ht="30" customHeight="1">
      <c r="A2" s="137"/>
      <c r="B2" s="548" t="str">
        <f>IF(CupDraw!I1="","",CupDraw!I1)</f>
        <v/>
      </c>
      <c r="C2" s="547" t="str">
        <f>IF(CupDraw!J1="","",CupDraw!J1)</f>
        <v>Preliminary Round</v>
      </c>
      <c r="D2" s="581"/>
      <c r="E2" s="541"/>
      <c r="F2" s="543"/>
      <c r="G2" s="541"/>
      <c r="H2" s="548">
        <f>CupDraw!O1</f>
        <v>46263</v>
      </c>
      <c r="I2" s="547" t="str">
        <f>CupDraw!P1</f>
        <v>Round 1</v>
      </c>
      <c r="J2" s="548" t="str">
        <f>CupDraw!Q1</f>
        <v>PL R2</v>
      </c>
      <c r="K2" s="541"/>
      <c r="L2" s="544"/>
      <c r="M2" s="541"/>
      <c r="N2" s="548">
        <f>CupDraw!U1</f>
        <v>46284</v>
      </c>
      <c r="O2" s="547" t="str">
        <f>CupDraw!V1</f>
        <v>Round 2</v>
      </c>
      <c r="P2" s="548" t="str">
        <f>CupDraw!W1</f>
        <v>PL R5</v>
      </c>
      <c r="Q2" s="541"/>
      <c r="R2" s="544"/>
      <c r="S2" s="541"/>
      <c r="T2" s="548">
        <f>CupDraw!AA1</f>
        <v>46312</v>
      </c>
      <c r="U2" s="547" t="str">
        <f>CupDraw!AB1</f>
        <v>Round 3</v>
      </c>
      <c r="V2" s="548" t="str">
        <f>CupDraw!AC1</f>
        <v>PL R8</v>
      </c>
      <c r="W2" s="541"/>
      <c r="X2" s="544"/>
      <c r="Y2" s="548">
        <f>CupDraw!AG1</f>
        <v>46333</v>
      </c>
      <c r="Z2" s="547" t="str">
        <f>CupDraw!AH1</f>
        <v>Round 4</v>
      </c>
      <c r="AA2" s="548" t="str">
        <f>CupDraw!AI1</f>
        <v>PL R12</v>
      </c>
      <c r="AB2" s="541"/>
      <c r="AC2" s="137"/>
      <c r="AD2" s="548">
        <f>CupDraw!AM1</f>
        <v>46354</v>
      </c>
      <c r="AE2" s="547" t="str">
        <f>CupDraw!AN1</f>
        <v>Semi-Final</v>
      </c>
      <c r="AF2" s="548" t="str">
        <f>CupDraw!AO1</f>
        <v>PL R15</v>
      </c>
      <c r="AG2" s="541"/>
      <c r="AH2" s="137"/>
      <c r="AI2" s="548">
        <f>CupDraw!AS1</f>
        <v>46375</v>
      </c>
      <c r="AJ2" s="547" t="str">
        <f>CupDraw!AT1</f>
        <v>Final</v>
      </c>
      <c r="AK2" s="548" t="str">
        <f>CupDraw!AU1</f>
        <v>PL R18</v>
      </c>
      <c r="AL2" s="541"/>
      <c r="AM2" s="137"/>
      <c r="AN2" s="137"/>
      <c r="AO2" s="137"/>
      <c r="AP2" s="137"/>
      <c r="AQ2" s="137"/>
      <c r="AR2" s="137"/>
      <c r="AS2" s="137"/>
      <c r="AT2" s="137"/>
      <c r="AU2" s="137"/>
      <c r="AV2" s="137"/>
      <c r="AW2" s="137"/>
      <c r="AX2" s="137"/>
      <c r="AY2" s="137"/>
      <c r="AZ2" s="137"/>
      <c r="BA2" s="137"/>
      <c r="BB2" s="137"/>
      <c r="BC2" s="137"/>
      <c r="BD2" s="137"/>
      <c r="BE2" s="137"/>
      <c r="BF2" s="137"/>
    </row>
    <row r="3" spans="1:58">
      <c r="B3" s="84">
        <f>CupDraw!I2</f>
        <v>1</v>
      </c>
      <c r="C3" s="71" t="str">
        <f>IF(CupDraw!J2="","",CupDraw!J2)</f>
        <v/>
      </c>
      <c r="D3" s="72" t="str">
        <f>IF(CupDraw!K2="","",CupDraw!K2)</f>
        <v/>
      </c>
      <c r="E3" s="81" t="str">
        <f>IF(CupDraw!L2="","",CupDraw!L2)</f>
        <v/>
      </c>
      <c r="F3" s="75"/>
      <c r="G3" s="58"/>
      <c r="H3" s="706">
        <f>CupDraw!O2</f>
        <v>1</v>
      </c>
      <c r="I3" s="68" t="str">
        <f>IF(CupDraw!P2="","",CupDraw!P2)</f>
        <v>Andy White</v>
      </c>
      <c r="J3" s="72">
        <f>IF(CupDraw!Q2="","",CupDraw!Q2)</f>
        <v>-5.0909090909090908</v>
      </c>
      <c r="K3" s="81" t="str">
        <f>IF(CupDraw!R2="","",CupDraw!R2)</f>
        <v/>
      </c>
      <c r="L3" s="78"/>
      <c r="M3" s="58"/>
      <c r="N3" s="60">
        <f>CupDraw!U2</f>
        <v>1</v>
      </c>
      <c r="O3" s="68" t="str">
        <f>CupDraw!V2</f>
        <v>Andy White</v>
      </c>
      <c r="P3" s="72">
        <f>IF(CupDraw!W2="","",CupDraw!W2)</f>
        <v>-7</v>
      </c>
      <c r="Q3" s="81" t="str">
        <f>IF(CupDraw!X2="","",CupDraw!X2)</f>
        <v/>
      </c>
      <c r="R3" s="78"/>
      <c r="S3" s="58"/>
      <c r="T3" s="60">
        <f>CupDraw!AA2</f>
        <v>1</v>
      </c>
      <c r="U3" s="68" t="str">
        <f>CupDraw!AB2</f>
        <v>Steve Waterhouse</v>
      </c>
      <c r="V3" s="91" t="str">
        <f>IF(CupDraw!AC2="","",CupDraw!AC2)</f>
        <v/>
      </c>
      <c r="W3" s="73" t="str">
        <f>CupDraw!AD2</f>
        <v/>
      </c>
      <c r="X3" s="78"/>
      <c r="Y3" s="60">
        <f>CupDraw!AG2</f>
        <v>1</v>
      </c>
      <c r="Z3" s="68" t="str">
        <f>CupDraw!AH2</f>
        <v>Await earlier tie</v>
      </c>
      <c r="AA3" s="72" t="str">
        <f>IF(CupDraw!AI2="","",CupDraw!AI2)</f>
        <v/>
      </c>
      <c r="AB3" s="73" t="str">
        <f>IF(CupDraw!AJ2="","",CupDraw!AJ2)</f>
        <v/>
      </c>
      <c r="AC3" s="76"/>
      <c r="AD3" s="60">
        <f>CupDraw!AM2</f>
        <v>1</v>
      </c>
      <c r="AE3" s="68" t="str">
        <f>IF(CupDraw!AN2="","",CupDraw!AN2)</f>
        <v>Await earlier tie</v>
      </c>
      <c r="AF3" s="91" t="str">
        <f>IF(CupDraw!AO2="","",CupDraw!AO2)</f>
        <v/>
      </c>
      <c r="AG3" s="73" t="str">
        <f>CupDraw!AP2</f>
        <v/>
      </c>
      <c r="AH3" s="76"/>
      <c r="AI3" s="60">
        <f>CupDraw!AS2</f>
        <v>1</v>
      </c>
      <c r="AJ3" s="70" t="str">
        <f>CupDraw!AT2</f>
        <v>Await earlier tie</v>
      </c>
      <c r="AK3" s="91" t="str">
        <f>IF(CupDraw!AU2="","",CupDraw!AU2)</f>
        <v/>
      </c>
      <c r="AL3" s="73" t="str">
        <f>CupDraw!AV2</f>
        <v/>
      </c>
      <c r="AM3" s="76"/>
      <c r="AN3" s="76"/>
      <c r="AO3" s="76"/>
      <c r="AP3" s="76"/>
      <c r="AQ3" s="76"/>
      <c r="AR3" s="76"/>
      <c r="AS3" s="76"/>
      <c r="AT3" s="76"/>
      <c r="AU3" s="76"/>
      <c r="AV3" s="76"/>
      <c r="AW3" s="76"/>
      <c r="AX3" s="76"/>
      <c r="AY3" s="76"/>
      <c r="AZ3" s="76"/>
      <c r="BA3" s="76"/>
      <c r="BB3" s="76"/>
      <c r="BC3" s="76"/>
      <c r="BD3" s="76"/>
      <c r="BE3" s="76"/>
      <c r="BF3" s="76"/>
    </row>
    <row r="4" spans="1:58">
      <c r="B4" s="83"/>
      <c r="C4" s="71" t="str">
        <f>IF(CupDraw!J3="","",CupDraw!J3)</f>
        <v/>
      </c>
      <c r="D4" s="72" t="str">
        <f>IF(CupDraw!K3="","",CupDraw!K3)</f>
        <v/>
      </c>
      <c r="E4" s="122" t="str">
        <f>IF(CupDraw!L3="","",CupDraw!L3)</f>
        <v/>
      </c>
      <c r="F4" s="75"/>
      <c r="G4" s="58"/>
      <c r="H4" s="707">
        <f>CupDraw!O3</f>
        <v>0</v>
      </c>
      <c r="I4" s="68" t="str">
        <f>IF(CupDraw!P3="","",CupDraw!P3)</f>
        <v>Charlie Griffiths</v>
      </c>
      <c r="J4" s="72">
        <f>IF(CupDraw!Q3="","",CupDraw!Q3)</f>
        <v>-7</v>
      </c>
      <c r="K4" s="61" t="str">
        <f>IF(CupDraw!R3="","",CupDraw!R3)</f>
        <v/>
      </c>
      <c r="L4" s="78"/>
      <c r="M4" s="58"/>
      <c r="N4" s="63"/>
      <c r="O4" s="68" t="str">
        <f>CupDraw!V3</f>
        <v>Steve Waterhouse</v>
      </c>
      <c r="P4" s="72">
        <f>IF(CupDraw!W3="","",CupDraw!W3)</f>
        <v>4.9499999999999993</v>
      </c>
      <c r="Q4" s="64" t="str">
        <f>IF(CupDraw!X3="","",CupDraw!X3)</f>
        <v/>
      </c>
      <c r="R4" s="78"/>
      <c r="S4" s="58"/>
      <c r="T4" s="63"/>
      <c r="U4" s="68" t="str">
        <f>CupDraw!AB3</f>
        <v>Alex Griffin</v>
      </c>
      <c r="V4" s="91" t="str">
        <f>IF(CupDraw!AC3="","",CupDraw!AC3)</f>
        <v/>
      </c>
      <c r="W4" s="64"/>
      <c r="X4" s="78"/>
      <c r="Y4" s="63"/>
      <c r="Z4" s="68" t="str">
        <f>CupDraw!AH3</f>
        <v>Await earlier tie</v>
      </c>
      <c r="AA4" s="72" t="str">
        <f>IF(CupDraw!AI3="","",CupDraw!AI3)</f>
        <v/>
      </c>
      <c r="AB4" s="593" t="str">
        <f>IF(CupDraw!AJ3="","",CupDraw!AJ3)</f>
        <v/>
      </c>
      <c r="AC4" s="76"/>
      <c r="AD4" s="63"/>
      <c r="AE4" s="68" t="str">
        <f>CupDraw!AN3</f>
        <v>Await earlier tie</v>
      </c>
      <c r="AF4" s="91" t="str">
        <f>IF(CupDraw!AO3="","",CupDraw!AO3)</f>
        <v/>
      </c>
      <c r="AG4" s="64"/>
      <c r="AH4" s="76"/>
      <c r="AI4" s="67"/>
      <c r="AJ4" s="70" t="str">
        <f>CupDraw!AT3</f>
        <v>Await earlier tie</v>
      </c>
      <c r="AK4" s="91" t="str">
        <f>IF(CupDraw!AU3="","",CupDraw!AU3)</f>
        <v/>
      </c>
      <c r="AL4" s="61"/>
      <c r="AM4" s="76"/>
      <c r="AN4" s="76"/>
      <c r="AO4" s="76"/>
      <c r="AP4" s="76"/>
      <c r="AQ4" s="76"/>
      <c r="AR4" s="76"/>
      <c r="AS4" s="76"/>
      <c r="AT4" s="76"/>
      <c r="AU4" s="76"/>
      <c r="AV4" s="76"/>
      <c r="AW4" s="76"/>
      <c r="AX4" s="76"/>
      <c r="AY4" s="76"/>
      <c r="AZ4" s="76"/>
      <c r="BA4" s="76"/>
      <c r="BB4" s="76"/>
      <c r="BC4" s="76"/>
      <c r="BD4" s="76"/>
      <c r="BE4" s="76"/>
      <c r="BF4" s="76"/>
    </row>
    <row r="5" spans="1:58">
      <c r="B5" s="84">
        <f>CupDraw!I4</f>
        <v>2</v>
      </c>
      <c r="C5" s="71" t="str">
        <f>IF(CupDraw!J4="","",CupDraw!J4)</f>
        <v/>
      </c>
      <c r="D5" s="72" t="str">
        <f>IF(CupDraw!K4="","",CupDraw!K4)</f>
        <v/>
      </c>
      <c r="E5" s="81" t="str">
        <f>IF(CupDraw!L4="","",CupDraw!L4)</f>
        <v/>
      </c>
      <c r="F5" s="75"/>
      <c r="G5" s="58"/>
      <c r="H5" s="82">
        <f>CupDraw!O4</f>
        <v>2</v>
      </c>
      <c r="I5" s="68" t="str">
        <f>IF(CupDraw!P4="","",CupDraw!P4)</f>
        <v>Phil Miller</v>
      </c>
      <c r="J5" s="72">
        <f>IF(CupDraw!Q4="","",CupDraw!Q4)</f>
        <v>-5.384615384615385</v>
      </c>
      <c r="K5" s="81" t="str">
        <f>IF(CupDraw!R4="","",CupDraw!R4)</f>
        <v/>
      </c>
      <c r="L5" s="78"/>
      <c r="M5" s="58"/>
      <c r="N5" s="60">
        <f>CupDraw!U4</f>
        <v>2</v>
      </c>
      <c r="O5" s="68" t="str">
        <f>CupDraw!V4</f>
        <v>Frank Allen</v>
      </c>
      <c r="P5" s="72">
        <f>IF(CupDraw!W4="","",CupDraw!W4)</f>
        <v>-7</v>
      </c>
      <c r="Q5" s="81" t="str">
        <f>IF(CupDraw!X4="","",CupDraw!X4)</f>
        <v/>
      </c>
      <c r="R5" s="78"/>
      <c r="S5" s="58"/>
      <c r="T5" s="60">
        <f>CupDraw!AA4</f>
        <v>2</v>
      </c>
      <c r="U5" s="68" t="str">
        <f>CupDraw!AB4</f>
        <v>Tom Robinson</v>
      </c>
      <c r="V5" s="91" t="str">
        <f>IF(CupDraw!AC4="","",CupDraw!AC4)</f>
        <v/>
      </c>
      <c r="W5" s="73" t="str">
        <f>CupDraw!AD4</f>
        <v/>
      </c>
      <c r="X5" s="78"/>
      <c r="Y5" s="60">
        <f>CupDraw!AG4</f>
        <v>2</v>
      </c>
      <c r="Z5" s="68" t="str">
        <f>CupDraw!AH4</f>
        <v>Await earlier tie</v>
      </c>
      <c r="AA5" s="72" t="str">
        <f>IF(CupDraw!AI4="","",CupDraw!AI4)</f>
        <v/>
      </c>
      <c r="AB5" s="73" t="str">
        <f>IF(CupDraw!AJ4="","",CupDraw!AJ4)</f>
        <v/>
      </c>
      <c r="AC5" s="76"/>
      <c r="AD5" s="60">
        <f>CupDraw!AM4</f>
        <v>2</v>
      </c>
      <c r="AE5" s="68" t="str">
        <f>CupDraw!AN4</f>
        <v>Await earlier tie</v>
      </c>
      <c r="AF5" s="91" t="str">
        <f>IF(CupDraw!AO4="","",CupDraw!AO4)</f>
        <v/>
      </c>
      <c r="AG5" s="73" t="str">
        <f>CupDraw!AP4</f>
        <v/>
      </c>
      <c r="AH5" s="76"/>
      <c r="AI5" s="76"/>
      <c r="AJ5" s="76"/>
      <c r="AK5" s="76"/>
      <c r="AL5" s="76"/>
      <c r="AM5" s="76"/>
      <c r="AN5" s="76"/>
      <c r="AO5" s="76"/>
      <c r="AP5" s="76"/>
      <c r="AQ5" s="76"/>
      <c r="AR5" s="76"/>
      <c r="AS5" s="76"/>
      <c r="AT5" s="76"/>
      <c r="AU5" s="76"/>
      <c r="AV5" s="76"/>
      <c r="AW5" s="76"/>
      <c r="AX5" s="76"/>
      <c r="AY5" s="76"/>
      <c r="AZ5" s="76"/>
      <c r="BA5" s="76"/>
      <c r="BB5" s="76"/>
      <c r="BC5" s="76"/>
      <c r="BD5" s="76"/>
      <c r="BE5" s="76"/>
      <c r="BF5" s="76"/>
    </row>
    <row r="6" spans="1:58">
      <c r="B6" s="83"/>
      <c r="C6" s="71" t="str">
        <f>IF(CupDraw!J5="","",CupDraw!J5)</f>
        <v/>
      </c>
      <c r="D6" s="72" t="str">
        <f>IF(CupDraw!K5="","",CupDraw!K5)</f>
        <v/>
      </c>
      <c r="E6" s="122" t="str">
        <f>IF(CupDraw!L5="","",CupDraw!L5)</f>
        <v/>
      </c>
      <c r="F6" s="75"/>
      <c r="G6" s="58"/>
      <c r="H6" s="83"/>
      <c r="I6" s="68" t="str">
        <f>IF(CupDraw!P5="","",CupDraw!P5)</f>
        <v>Steve Waterhouse</v>
      </c>
      <c r="J6" s="72">
        <f>IF(CupDraw!Q5="","",CupDraw!Q5)</f>
        <v>2.5600000000000005</v>
      </c>
      <c r="K6" s="61" t="str">
        <f>IF(CupDraw!R5="","",CupDraw!R5)</f>
        <v/>
      </c>
      <c r="L6" s="78"/>
      <c r="M6" s="58"/>
      <c r="N6" s="63"/>
      <c r="O6" s="68" t="str">
        <f>CupDraw!V5</f>
        <v>Alex Griffin</v>
      </c>
      <c r="P6" s="72">
        <f>IF(CupDraw!W5="","",CupDraw!W5)</f>
        <v>4.2100000000000009</v>
      </c>
      <c r="Q6" s="64" t="str">
        <f>IF(CupDraw!X5="","",CupDraw!X5)</f>
        <v/>
      </c>
      <c r="R6" s="78"/>
      <c r="S6" s="58"/>
      <c r="T6" s="63"/>
      <c r="U6" s="68" t="str">
        <f>CupDraw!AB5</f>
        <v>Martin Molyneux</v>
      </c>
      <c r="V6" s="91" t="str">
        <f>IF(CupDraw!AC5="","",CupDraw!AC5)</f>
        <v/>
      </c>
      <c r="W6" s="64"/>
      <c r="X6" s="78"/>
      <c r="Y6" s="63"/>
      <c r="Z6" s="68" t="str">
        <f>CupDraw!AH5</f>
        <v>Await earlier tie</v>
      </c>
      <c r="AA6" s="72" t="str">
        <f>IF(CupDraw!AI5="","",CupDraw!AI5)</f>
        <v/>
      </c>
      <c r="AB6" s="593" t="str">
        <f>IF(CupDraw!AJ5="","",CupDraw!AJ5)</f>
        <v/>
      </c>
      <c r="AC6" s="76"/>
      <c r="AD6" s="67"/>
      <c r="AE6" s="68" t="str">
        <f>CupDraw!AN5</f>
        <v>Await earlier tie</v>
      </c>
      <c r="AF6" s="91" t="str">
        <f>IF(CupDraw!AO5="","",CupDraw!AO5)</f>
        <v/>
      </c>
      <c r="AG6" s="61"/>
      <c r="AH6" s="76"/>
      <c r="AI6" s="59"/>
      <c r="AJ6" s="58"/>
      <c r="AK6" s="58"/>
      <c r="AL6" s="58"/>
      <c r="AM6" s="76"/>
      <c r="AN6" s="76"/>
      <c r="AO6" s="76"/>
      <c r="AP6" s="76"/>
      <c r="AQ6" s="76"/>
      <c r="AR6" s="76"/>
      <c r="AS6" s="76"/>
      <c r="AT6" s="76"/>
      <c r="AU6" s="76"/>
      <c r="AV6" s="76"/>
      <c r="AW6" s="76"/>
      <c r="AX6" s="76"/>
      <c r="AY6" s="76"/>
      <c r="AZ6" s="76"/>
      <c r="BA6" s="76"/>
      <c r="BB6" s="76"/>
      <c r="BC6" s="76"/>
      <c r="BD6" s="76"/>
      <c r="BE6" s="76"/>
      <c r="BF6" s="76"/>
    </row>
    <row r="7" spans="1:58">
      <c r="B7" s="84">
        <f>CupDraw!I6</f>
        <v>3</v>
      </c>
      <c r="C7" s="71" t="str">
        <f>IF(CupDraw!J6="","",CupDraw!J6)</f>
        <v/>
      </c>
      <c r="D7" s="72" t="str">
        <f>IF(CupDraw!K6="","",CupDraw!K6)</f>
        <v/>
      </c>
      <c r="E7" s="81" t="str">
        <f>IF(CupDraw!L6="","",CupDraw!L6)</f>
        <v/>
      </c>
      <c r="F7" s="75"/>
      <c r="G7" s="58"/>
      <c r="H7" s="84">
        <f>CupDraw!O6</f>
        <v>3</v>
      </c>
      <c r="I7" s="68" t="str">
        <f>IF(CupDraw!P6="","",CupDraw!P6)</f>
        <v>Frank Allen</v>
      </c>
      <c r="J7" s="72">
        <f>IF(CupDraw!Q6="","",CupDraw!Q6)</f>
        <v>14.087500000000002</v>
      </c>
      <c r="K7" s="81" t="str">
        <f>IF(CupDraw!R6="","",CupDraw!R6)</f>
        <v/>
      </c>
      <c r="L7" s="78"/>
      <c r="M7" s="58"/>
      <c r="N7" s="60">
        <f>CupDraw!U6</f>
        <v>3</v>
      </c>
      <c r="O7" s="68" t="str">
        <f>CupDraw!V6</f>
        <v>Kevin Carter</v>
      </c>
      <c r="P7" s="72">
        <f>IF(CupDraw!W6="","",CupDraw!W6)</f>
        <v>-5.7142857142857144</v>
      </c>
      <c r="Q7" s="81" t="str">
        <f>IF(CupDraw!X6="","",CupDraw!X6)</f>
        <v/>
      </c>
      <c r="R7" s="78"/>
      <c r="S7" s="58"/>
      <c r="T7" s="60">
        <f>CupDraw!AA6</f>
        <v>3</v>
      </c>
      <c r="U7" s="68" t="str">
        <f>CupDraw!AB6</f>
        <v>Rob England</v>
      </c>
      <c r="V7" s="91" t="str">
        <f>IF(CupDraw!AC6="","",CupDraw!AC6)</f>
        <v/>
      </c>
      <c r="W7" s="73" t="str">
        <f>CupDraw!AD6</f>
        <v/>
      </c>
      <c r="X7" s="78"/>
      <c r="Y7" s="60">
        <f>CupDraw!AG6</f>
        <v>3</v>
      </c>
      <c r="Z7" s="68" t="str">
        <f>CupDraw!AH6</f>
        <v>Await earlier tie</v>
      </c>
      <c r="AA7" s="72" t="str">
        <f>IF(CupDraw!AI6="","",CupDraw!AI6)</f>
        <v/>
      </c>
      <c r="AB7" s="73" t="str">
        <f>IF(CupDraw!AJ6="","",CupDraw!AJ6)</f>
        <v/>
      </c>
      <c r="AC7" s="76"/>
      <c r="AD7" s="76"/>
      <c r="AE7" s="76"/>
      <c r="AF7" s="529" t="str">
        <f>IF(CupDraw!AO6="","",CupDraw!AO6)</f>
        <v/>
      </c>
      <c r="AG7" s="76"/>
      <c r="AH7" s="76"/>
      <c r="AI7" s="328" t="str">
        <f>CupDraw!AS6</f>
        <v>Earlier drawn ties</v>
      </c>
      <c r="AJ7" s="103"/>
      <c r="AK7" s="103"/>
      <c r="AL7" s="103"/>
      <c r="AM7" s="76"/>
      <c r="AN7" s="76"/>
      <c r="AO7" s="76"/>
      <c r="AP7" s="76"/>
      <c r="AQ7" s="76"/>
      <c r="AR7" s="76"/>
      <c r="AS7" s="76"/>
      <c r="AT7" s="76"/>
      <c r="AU7" s="76"/>
      <c r="AV7" s="76"/>
      <c r="AW7" s="76"/>
      <c r="AX7" s="76"/>
      <c r="AY7" s="76"/>
      <c r="AZ7" s="76"/>
      <c r="BA7" s="76"/>
      <c r="BB7" s="76"/>
      <c r="BC7" s="76"/>
      <c r="BD7" s="76"/>
      <c r="BE7" s="76"/>
      <c r="BF7" s="76"/>
    </row>
    <row r="8" spans="1:58">
      <c r="B8" s="83"/>
      <c r="C8" s="71" t="str">
        <f>IF(CupDraw!J7="","",CupDraw!J7)</f>
        <v/>
      </c>
      <c r="D8" s="72" t="str">
        <f>IF(CupDraw!K7="","",CupDraw!K7)</f>
        <v/>
      </c>
      <c r="E8" s="122" t="str">
        <f>IF(CupDraw!L7="","",CupDraw!L7)</f>
        <v/>
      </c>
      <c r="F8" s="75"/>
      <c r="G8" s="58"/>
      <c r="H8" s="83"/>
      <c r="I8" s="68" t="str">
        <f>IF(CupDraw!P7="","",CupDraw!P7)</f>
        <v>Ben Rosser</v>
      </c>
      <c r="J8" s="72">
        <f>IF(CupDraw!Q7="","",CupDraw!Q7)</f>
        <v>-7</v>
      </c>
      <c r="K8" s="61" t="str">
        <f>IF(CupDraw!R7="","",CupDraw!R7)</f>
        <v/>
      </c>
      <c r="L8" s="78"/>
      <c r="M8" s="58"/>
      <c r="N8" s="63"/>
      <c r="O8" s="68" t="str">
        <f>CupDraw!V7</f>
        <v>Tom Robinson</v>
      </c>
      <c r="P8" s="72">
        <f>IF(CupDraw!W7="","",CupDraw!W7)</f>
        <v>-0.4375</v>
      </c>
      <c r="Q8" s="64" t="str">
        <f>IF(CupDraw!X7="","",CupDraw!X7)</f>
        <v/>
      </c>
      <c r="R8" s="78"/>
      <c r="S8" s="58"/>
      <c r="T8" s="63"/>
      <c r="U8" s="68" t="str">
        <f>CupDraw!AB7</f>
        <v>Paul Fairhurst</v>
      </c>
      <c r="V8" s="91" t="str">
        <f>IF(CupDraw!AC7="","",CupDraw!AC7)</f>
        <v/>
      </c>
      <c r="W8" s="64"/>
      <c r="X8" s="78"/>
      <c r="Y8" s="63"/>
      <c r="Z8" s="68" t="str">
        <f>CupDraw!AH7</f>
        <v>Await earlier tie</v>
      </c>
      <c r="AA8" s="72" t="str">
        <f>IF(CupDraw!AI7="","",CupDraw!AI7)</f>
        <v/>
      </c>
      <c r="AB8" s="593" t="str">
        <f>IF(CupDraw!AJ7="","",CupDraw!AJ7)</f>
        <v/>
      </c>
      <c r="AC8" s="76"/>
      <c r="AD8" s="328" t="s">
        <v>484</v>
      </c>
      <c r="AE8" s="103"/>
      <c r="AF8" s="603"/>
      <c r="AG8" s="103"/>
      <c r="AH8" s="76"/>
      <c r="AI8" s="706"/>
      <c r="AJ8" s="68" t="str">
        <f>IF(CupDraw!AT7="","",CupDraw!AT7)</f>
        <v/>
      </c>
      <c r="AK8" s="69" t="str">
        <f>IF(CupDraw!AU7="","",CupDraw!AU7)</f>
        <v/>
      </c>
      <c r="AL8" s="81" t="str">
        <f>IF(CupDraw!AV7="","",CupDraw!AV7)</f>
        <v/>
      </c>
      <c r="AM8" s="76"/>
      <c r="AN8" s="76"/>
      <c r="AO8" s="76"/>
      <c r="AP8" s="76"/>
      <c r="AQ8" s="76"/>
      <c r="AR8" s="76"/>
      <c r="AS8" s="76"/>
      <c r="AT8" s="76"/>
      <c r="AU8" s="76"/>
      <c r="AV8" s="76"/>
      <c r="AW8" s="76"/>
      <c r="AX8" s="76"/>
      <c r="AY8" s="76"/>
      <c r="AZ8" s="76"/>
      <c r="BA8" s="76"/>
      <c r="BB8" s="76"/>
      <c r="BC8" s="76"/>
      <c r="BD8" s="76"/>
      <c r="BE8" s="76"/>
      <c r="BF8" s="76"/>
    </row>
    <row r="9" spans="1:58">
      <c r="B9" s="84">
        <f>CupDraw!I8</f>
        <v>4</v>
      </c>
      <c r="C9" s="71" t="str">
        <f>IF(CupDraw!J8="","",CupDraw!J8)</f>
        <v/>
      </c>
      <c r="D9" s="72" t="str">
        <f>IF(CupDraw!K8="","",CupDraw!K8)</f>
        <v/>
      </c>
      <c r="E9" s="81" t="str">
        <f>IF(CupDraw!L8="","",CupDraw!L8)</f>
        <v/>
      </c>
      <c r="F9" s="75"/>
      <c r="G9" s="58"/>
      <c r="H9" s="84">
        <f>CupDraw!O8</f>
        <v>4</v>
      </c>
      <c r="I9" s="68" t="str">
        <f>IF(CupDraw!P8="","",CupDraw!P8)</f>
        <v>Alex Griffin</v>
      </c>
      <c r="J9" s="72">
        <f>IF(CupDraw!Q8="","",CupDraw!Q8)</f>
        <v>0.46280991735537214</v>
      </c>
      <c r="K9" s="81" t="str">
        <f>IF(CupDraw!R8="","",CupDraw!R8)</f>
        <v/>
      </c>
      <c r="L9" s="78"/>
      <c r="M9" s="58"/>
      <c r="N9" s="60">
        <f>CupDraw!U8</f>
        <v>4</v>
      </c>
      <c r="O9" s="68" t="str">
        <f>CupDraw!V8</f>
        <v>Martin Molyneux</v>
      </c>
      <c r="P9" s="72">
        <f>IF(CupDraw!W8="","",CupDraw!W8)</f>
        <v>-5.25</v>
      </c>
      <c r="Q9" s="81" t="str">
        <f>IF(CupDraw!X8="","",CupDraw!X8)</f>
        <v/>
      </c>
      <c r="R9" s="78"/>
      <c r="S9" s="58"/>
      <c r="T9" s="60">
        <f>CupDraw!AA8</f>
        <v>4</v>
      </c>
      <c r="U9" s="68" t="str">
        <f>CupDraw!AB8</f>
        <v>Steve Carter</v>
      </c>
      <c r="V9" s="91" t="str">
        <f>IF(CupDraw!AC8="","",CupDraw!AC8)</f>
        <v/>
      </c>
      <c r="W9" s="73" t="str">
        <f>CupDraw!AD8</f>
        <v/>
      </c>
      <c r="X9" s="78"/>
      <c r="Y9" s="60">
        <f>CupDraw!AG8</f>
        <v>4</v>
      </c>
      <c r="Z9" s="68" t="str">
        <f>CupDraw!AH8</f>
        <v>Await earlier tie</v>
      </c>
      <c r="AA9" s="72" t="str">
        <f>IF(CupDraw!AI8="","",CupDraw!AI8)</f>
        <v/>
      </c>
      <c r="AB9" s="73" t="str">
        <f>IF(CupDraw!AJ8="","",CupDraw!AJ8)</f>
        <v/>
      </c>
      <c r="AC9" s="76"/>
      <c r="AD9" s="706"/>
      <c r="AE9" s="68" t="str">
        <f>IF(CupDraw!AN8="","",CupDraw!AN8)</f>
        <v/>
      </c>
      <c r="AF9" s="91" t="str">
        <f>IF(CupDraw!AO8="","",CupDraw!AO8)</f>
        <v/>
      </c>
      <c r="AG9" s="81">
        <f>CupDraw!AP8</f>
        <v>0</v>
      </c>
      <c r="AH9" s="76"/>
      <c r="AI9" s="707"/>
      <c r="AJ9" s="68" t="str">
        <f>IF(CupDraw!AT8="","",CupDraw!AT8)</f>
        <v/>
      </c>
      <c r="AK9" s="69" t="str">
        <f>IF(CupDraw!AU8="","",CupDraw!AU8)</f>
        <v/>
      </c>
      <c r="AL9" s="61" t="str">
        <f>IF(CupDraw!AV8="","",CupDraw!AV8)</f>
        <v/>
      </c>
      <c r="AM9" s="76"/>
      <c r="AN9" s="76"/>
      <c r="AO9" s="76"/>
      <c r="AP9" s="76"/>
      <c r="AQ9" s="76"/>
      <c r="AR9" s="76"/>
      <c r="AS9" s="76"/>
      <c r="AT9" s="76"/>
      <c r="AU9" s="76"/>
      <c r="AV9" s="76"/>
      <c r="AW9" s="76"/>
      <c r="AX9" s="76"/>
      <c r="AY9" s="76"/>
      <c r="AZ9" s="76"/>
      <c r="BA9" s="76"/>
      <c r="BB9" s="76"/>
      <c r="BC9" s="76"/>
      <c r="BD9" s="76"/>
      <c r="BE9" s="76"/>
      <c r="BF9" s="76"/>
    </row>
    <row r="10" spans="1:58">
      <c r="B10" s="83"/>
      <c r="C10" s="71" t="str">
        <f>IF(CupDraw!J9="","",CupDraw!J9)</f>
        <v/>
      </c>
      <c r="D10" s="72" t="str">
        <f>IF(CupDraw!K9="","",CupDraw!K9)</f>
        <v/>
      </c>
      <c r="E10" s="122" t="str">
        <f>IF(CupDraw!L9="","",CupDraw!L9)</f>
        <v/>
      </c>
      <c r="F10" s="75"/>
      <c r="G10" s="58"/>
      <c r="H10" s="83"/>
      <c r="I10" s="68" t="str">
        <f>IF(CupDraw!P9="","",CupDraw!P9)</f>
        <v>Julie Dodd</v>
      </c>
      <c r="J10" s="72">
        <f>IF(CupDraw!Q9="","",CupDraw!Q9)</f>
        <v>-0.40000000000000036</v>
      </c>
      <c r="K10" s="61" t="str">
        <f>IF(CupDraw!R9="","",CupDraw!R9)</f>
        <v/>
      </c>
      <c r="L10" s="78"/>
      <c r="M10" s="58"/>
      <c r="N10" s="63"/>
      <c r="O10" s="68" t="str">
        <f>CupDraw!V9</f>
        <v>Nigel Heyes</v>
      </c>
      <c r="P10" s="72">
        <f>IF(CupDraw!W9="","",CupDraw!W9)</f>
        <v>-5.5</v>
      </c>
      <c r="Q10" s="64" t="str">
        <f>IF(CupDraw!X9="","",CupDraw!X9)</f>
        <v/>
      </c>
      <c r="R10" s="78"/>
      <c r="S10" s="58"/>
      <c r="T10" s="63"/>
      <c r="U10" s="68" t="str">
        <f>CupDraw!AB9</f>
        <v>Howard Bradley</v>
      </c>
      <c r="V10" s="91" t="str">
        <f>IF(CupDraw!AC9="","",CupDraw!AC9)</f>
        <v/>
      </c>
      <c r="W10" s="64"/>
      <c r="X10" s="78"/>
      <c r="Y10" s="67"/>
      <c r="Z10" s="68" t="str">
        <f>CupDraw!AH9</f>
        <v>Await earlier tie</v>
      </c>
      <c r="AA10" s="72" t="str">
        <f>IF(CupDraw!AI9="","",CupDraw!AI9)</f>
        <v/>
      </c>
      <c r="AB10" s="122" t="str">
        <f>IF(CupDraw!AJ9="","",CupDraw!AJ9)</f>
        <v/>
      </c>
      <c r="AC10" s="76"/>
      <c r="AD10" s="707"/>
      <c r="AE10" s="68" t="str">
        <f>IF(CupDraw!AN9="","",CupDraw!AN9)</f>
        <v/>
      </c>
      <c r="AF10" s="91" t="str">
        <f>IF(CupDraw!AO9="","",CupDraw!AO9)</f>
        <v/>
      </c>
      <c r="AG10" s="61"/>
      <c r="AH10" s="76"/>
      <c r="AI10" s="704"/>
      <c r="AJ10" s="68" t="str">
        <f>IF(CupDraw!AT9="","",CupDraw!AT9)</f>
        <v/>
      </c>
      <c r="AK10" s="69" t="str">
        <f>IF(CupDraw!AU9="","",CupDraw!AU9)</f>
        <v/>
      </c>
      <c r="AL10" s="81" t="str">
        <f>IF(CupDraw!AV9="","",CupDraw!AV9)</f>
        <v/>
      </c>
      <c r="AM10" s="76"/>
      <c r="AN10" s="76"/>
      <c r="AO10" s="76"/>
      <c r="AP10" s="76"/>
      <c r="AQ10" s="76"/>
      <c r="AR10" s="76"/>
      <c r="AS10" s="76"/>
      <c r="AT10" s="76"/>
      <c r="AU10" s="76"/>
      <c r="AV10" s="76"/>
      <c r="AW10" s="76"/>
      <c r="AX10" s="76"/>
      <c r="AY10" s="76"/>
      <c r="AZ10" s="76"/>
      <c r="BA10" s="76"/>
      <c r="BB10" s="76"/>
      <c r="BC10" s="76"/>
      <c r="BD10" s="76"/>
      <c r="BE10" s="76"/>
      <c r="BF10" s="76"/>
    </row>
    <row r="11" spans="1:58">
      <c r="B11" s="84">
        <f>CupDraw!I10</f>
        <v>5</v>
      </c>
      <c r="C11" s="71" t="str">
        <f>IF(CupDraw!J10="","",CupDraw!J10)</f>
        <v/>
      </c>
      <c r="D11" s="72" t="str">
        <f>IF(CupDraw!K10="","",CupDraw!K10)</f>
        <v/>
      </c>
      <c r="E11" s="81" t="str">
        <f>IF(CupDraw!L10="","",CupDraw!L10)</f>
        <v/>
      </c>
      <c r="F11" s="75"/>
      <c r="G11" s="58"/>
      <c r="H11" s="84">
        <f>CupDraw!O10</f>
        <v>5</v>
      </c>
      <c r="I11" s="68" t="str">
        <f>IF(CupDraw!P10="","",CupDraw!P10)</f>
        <v>David Dunn</v>
      </c>
      <c r="J11" s="72">
        <f>IF(CupDraw!Q10="","",CupDraw!Q10)</f>
        <v>-7</v>
      </c>
      <c r="K11" s="81" t="str">
        <f>IF(CupDraw!R10="","",CupDraw!R10)</f>
        <v/>
      </c>
      <c r="L11" s="78"/>
      <c r="M11" s="58"/>
      <c r="N11" s="60">
        <f>CupDraw!U10</f>
        <v>5</v>
      </c>
      <c r="O11" s="68" t="str">
        <f>CupDraw!V10</f>
        <v>Rob England</v>
      </c>
      <c r="P11" s="72">
        <f>IF(CupDraw!W10="","",CupDraw!W10)</f>
        <v>-1.125</v>
      </c>
      <c r="Q11" s="81" t="str">
        <f>IF(CupDraw!X10="","",CupDraw!X10)</f>
        <v/>
      </c>
      <c r="R11" s="78"/>
      <c r="S11" s="58"/>
      <c r="T11" s="60">
        <f>CupDraw!AA10</f>
        <v>5</v>
      </c>
      <c r="U11" s="68" t="str">
        <f>CupDraw!AB10</f>
        <v>Jack Walsh</v>
      </c>
      <c r="V11" s="91" t="str">
        <f>IF(CupDraw!AC10="","",CupDraw!AC10)</f>
        <v/>
      </c>
      <c r="W11" s="73" t="str">
        <f>CupDraw!AD10</f>
        <v/>
      </c>
      <c r="X11" s="78"/>
      <c r="Y11" s="76"/>
      <c r="Z11" s="76"/>
      <c r="AA11" s="87"/>
      <c r="AB11" s="76"/>
      <c r="AC11" s="76"/>
      <c r="AD11" s="82"/>
      <c r="AE11" s="68" t="str">
        <f>IF(CupDraw!AN10="","",CupDraw!AN10)</f>
        <v/>
      </c>
      <c r="AF11" s="91" t="str">
        <f>IF(CupDraw!AO10="","",CupDraw!AO10)</f>
        <v/>
      </c>
      <c r="AG11" s="81">
        <f>CupDraw!AP10</f>
        <v>0</v>
      </c>
      <c r="AH11" s="76"/>
      <c r="AI11" s="705"/>
      <c r="AJ11" s="68" t="str">
        <f>IF(CupDraw!AT10="","",CupDraw!AT10)</f>
        <v/>
      </c>
      <c r="AK11" s="69" t="str">
        <f>IF(CupDraw!AU10="","",CupDraw!AU10)</f>
        <v/>
      </c>
      <c r="AL11" s="61" t="str">
        <f>IF(CupDraw!AV10="","",CupDraw!AV10)</f>
        <v/>
      </c>
      <c r="AM11" s="76"/>
      <c r="AN11" s="76"/>
      <c r="AO11" s="76"/>
      <c r="AP11" s="76"/>
      <c r="AQ11" s="76"/>
      <c r="AR11" s="76"/>
      <c r="AS11" s="76"/>
      <c r="AT11" s="76"/>
      <c r="AU11" s="76"/>
      <c r="AV11" s="76"/>
      <c r="AW11" s="76"/>
      <c r="AX11" s="76"/>
      <c r="AY11" s="76"/>
      <c r="AZ11" s="76"/>
      <c r="BA11" s="76"/>
      <c r="BB11" s="76"/>
      <c r="BC11" s="76"/>
      <c r="BD11" s="76"/>
      <c r="BE11" s="76"/>
      <c r="BF11" s="76"/>
    </row>
    <row r="12" spans="1:58">
      <c r="B12" s="83"/>
      <c r="C12" s="71" t="str">
        <f>IF(CupDraw!J11="","",CupDraw!J11)</f>
        <v/>
      </c>
      <c r="D12" s="72" t="str">
        <f>IF(CupDraw!K11="","",CupDraw!K11)</f>
        <v/>
      </c>
      <c r="E12" s="122" t="str">
        <f>IF(CupDraw!L11="","",CupDraw!L11)</f>
        <v/>
      </c>
      <c r="F12" s="75"/>
      <c r="G12" s="58"/>
      <c r="H12" s="83"/>
      <c r="I12" s="68" t="str">
        <f>IF(CupDraw!P11="","",CupDraw!P11)</f>
        <v>Kevin Carter</v>
      </c>
      <c r="J12" s="72">
        <f>IF(CupDraw!Q11="","",CupDraw!Q11)</f>
        <v>2.5600000000000005</v>
      </c>
      <c r="K12" s="61" t="str">
        <f>IF(CupDraw!R11="","",CupDraw!R11)</f>
        <v/>
      </c>
      <c r="L12" s="78"/>
      <c r="M12" s="58"/>
      <c r="N12" s="63"/>
      <c r="O12" s="68" t="str">
        <f>CupDraw!V11</f>
        <v>Vinny Topping</v>
      </c>
      <c r="P12" s="72">
        <f>IF(CupDraw!W11="","",CupDraw!W11)</f>
        <v>-4.3</v>
      </c>
      <c r="Q12" s="64" t="str">
        <f>IF(CupDraw!X11="","",CupDraw!X11)</f>
        <v/>
      </c>
      <c r="R12" s="78"/>
      <c r="S12" s="58"/>
      <c r="T12" s="63"/>
      <c r="U12" s="68" t="str">
        <f>CupDraw!AB11</f>
        <v>Graham Miller</v>
      </c>
      <c r="V12" s="91" t="str">
        <f>IF(CupDraw!AC11="","",CupDraw!AC11)</f>
        <v/>
      </c>
      <c r="W12" s="64"/>
      <c r="X12" s="78"/>
      <c r="Y12" s="76"/>
      <c r="Z12" s="76"/>
      <c r="AA12" s="87"/>
      <c r="AB12" s="76"/>
      <c r="AC12" s="76"/>
      <c r="AD12" s="83"/>
      <c r="AE12" s="68" t="str">
        <f>IF(CupDraw!AN11="","",CupDraw!AN11)</f>
        <v/>
      </c>
      <c r="AF12" s="91" t="str">
        <f>IF(CupDraw!AO11="","",CupDraw!AO11)</f>
        <v/>
      </c>
      <c r="AG12" s="61"/>
      <c r="AH12" s="76"/>
      <c r="AI12" s="76"/>
      <c r="AJ12" s="76"/>
      <c r="AK12" s="76"/>
      <c r="AL12" s="76"/>
      <c r="AM12" s="76"/>
      <c r="AN12" s="76"/>
      <c r="AO12" s="76"/>
      <c r="AP12" s="76"/>
      <c r="AQ12" s="76"/>
      <c r="AR12" s="76"/>
      <c r="AS12" s="76"/>
      <c r="AT12" s="76"/>
      <c r="AU12" s="76"/>
      <c r="AV12" s="76"/>
      <c r="AW12" s="76"/>
      <c r="AX12" s="76"/>
      <c r="AY12" s="76"/>
      <c r="AZ12" s="76"/>
      <c r="BA12" s="76"/>
      <c r="BB12" s="76"/>
      <c r="BC12" s="76"/>
      <c r="BD12" s="76"/>
      <c r="BE12" s="76"/>
      <c r="BF12" s="76"/>
    </row>
    <row r="13" spans="1:58">
      <c r="B13" s="84">
        <f>CupDraw!I12</f>
        <v>6</v>
      </c>
      <c r="C13" s="71" t="str">
        <f>IF(CupDraw!J12="","",CupDraw!J12)</f>
        <v/>
      </c>
      <c r="D13" s="72" t="str">
        <f>IF(CupDraw!K12="","",CupDraw!K12)</f>
        <v/>
      </c>
      <c r="E13" s="81" t="str">
        <f>IF(CupDraw!L12="","",CupDraw!L12)</f>
        <v/>
      </c>
      <c r="F13" s="75"/>
      <c r="G13" s="58"/>
      <c r="H13" s="84">
        <f>CupDraw!O12</f>
        <v>6</v>
      </c>
      <c r="I13" s="68" t="str">
        <f>IF(CupDraw!P12="","",CupDraw!P12)</f>
        <v>Tom Robinson</v>
      </c>
      <c r="J13" s="72">
        <f>IF(CupDraw!Q12="","",CupDraw!Q12)</f>
        <v>-5.0909090909090908</v>
      </c>
      <c r="K13" s="81" t="str">
        <f>IF(CupDraw!R12="","",CupDraw!R12)</f>
        <v/>
      </c>
      <c r="L13" s="78"/>
      <c r="M13" s="58"/>
      <c r="N13" s="60">
        <f>CupDraw!U12</f>
        <v>6</v>
      </c>
      <c r="O13" s="68" t="str">
        <f>CupDraw!V12</f>
        <v>Paul Fairhurst</v>
      </c>
      <c r="P13" s="72">
        <f>IF(CupDraw!W12="","",CupDraw!W12)</f>
        <v>11.95</v>
      </c>
      <c r="Q13" s="81" t="str">
        <f>IF(CupDraw!X12="","",CupDraw!X12)</f>
        <v/>
      </c>
      <c r="R13" s="78"/>
      <c r="S13" s="58"/>
      <c r="T13" s="60">
        <f>CupDraw!AA12</f>
        <v>6</v>
      </c>
      <c r="U13" s="68" t="str">
        <f>CupDraw!AB12</f>
        <v>Katy Savory</v>
      </c>
      <c r="V13" s="91" t="str">
        <f>IF(CupDraw!AC12="","",CupDraw!AC12)</f>
        <v/>
      </c>
      <c r="W13" s="73" t="str">
        <f>CupDraw!AD12</f>
        <v/>
      </c>
      <c r="X13" s="78"/>
      <c r="Y13" s="328" t="s">
        <v>484</v>
      </c>
      <c r="Z13" s="103"/>
      <c r="AA13" s="603"/>
      <c r="AB13" s="103"/>
      <c r="AC13" s="76"/>
      <c r="AD13" s="76"/>
      <c r="AE13" s="76"/>
      <c r="AF13" s="76"/>
      <c r="AG13" s="76"/>
      <c r="AH13" s="76"/>
      <c r="AI13" s="76"/>
      <c r="AJ13" s="76"/>
      <c r="AK13" s="76"/>
      <c r="AL13" s="76"/>
      <c r="AM13" s="76"/>
      <c r="AN13" s="76"/>
      <c r="AO13" s="76"/>
      <c r="AP13" s="76"/>
      <c r="AQ13" s="76"/>
      <c r="AR13" s="76"/>
      <c r="AS13" s="76"/>
      <c r="AT13" s="76"/>
      <c r="AU13" s="76"/>
      <c r="AV13" s="76"/>
      <c r="AW13" s="76"/>
      <c r="AX13" s="76"/>
      <c r="AY13" s="76"/>
      <c r="AZ13" s="76"/>
      <c r="BA13" s="76"/>
      <c r="BB13" s="76"/>
      <c r="BC13" s="76"/>
      <c r="BD13" s="76"/>
      <c r="BE13" s="76"/>
      <c r="BF13" s="76"/>
    </row>
    <row r="14" spans="1:58">
      <c r="B14" s="83"/>
      <c r="C14" s="71" t="str">
        <f>IF(CupDraw!J13="","",CupDraw!J13)</f>
        <v/>
      </c>
      <c r="D14" s="72" t="str">
        <f>IF(CupDraw!K13="","",CupDraw!K13)</f>
        <v/>
      </c>
      <c r="E14" s="122" t="str">
        <f>IF(CupDraw!L13="","",CupDraw!L13)</f>
        <v/>
      </c>
      <c r="F14" s="75"/>
      <c r="G14" s="58"/>
      <c r="H14" s="83"/>
      <c r="I14" s="68" t="str">
        <f>IF(CupDraw!P13="","",CupDraw!P13)</f>
        <v>Alan Bond</v>
      </c>
      <c r="J14" s="72">
        <f>IF(CupDraw!Q13="","",CupDraw!Q13)</f>
        <v>-10</v>
      </c>
      <c r="K14" s="61" t="str">
        <f>IF(CupDraw!R13="","",CupDraw!R13)</f>
        <v/>
      </c>
      <c r="L14" s="78"/>
      <c r="M14" s="58"/>
      <c r="N14" s="63"/>
      <c r="O14" s="68" t="str">
        <f>CupDraw!V13</f>
        <v>Mike Penk</v>
      </c>
      <c r="P14" s="72">
        <f>IF(CupDraw!W13="","",CupDraw!W13)</f>
        <v>-7</v>
      </c>
      <c r="Q14" s="64" t="str">
        <f>IF(CupDraw!X13="","",CupDraw!X13)</f>
        <v/>
      </c>
      <c r="R14" s="78"/>
      <c r="S14" s="58"/>
      <c r="T14" s="63"/>
      <c r="U14" s="68" t="str">
        <f>CupDraw!AB13</f>
        <v>Naaman Boyd</v>
      </c>
      <c r="V14" s="91" t="str">
        <f>IF(CupDraw!AC13="","",CupDraw!AC13)</f>
        <v/>
      </c>
      <c r="W14" s="64"/>
      <c r="X14" s="78"/>
      <c r="Y14" s="60"/>
      <c r="Z14" s="70" t="str">
        <f>IF(CupDraw!AH13="","",CupDraw!AH13)</f>
        <v/>
      </c>
      <c r="AA14" s="72" t="str">
        <f>IF(CupDraw!AI13="","",CupDraw!AI13)</f>
        <v/>
      </c>
      <c r="AB14" s="81" t="str">
        <f>IF(CupDraw!AJ13="","",CupDraw!AJ13)</f>
        <v/>
      </c>
      <c r="AC14" s="76"/>
      <c r="AD14" s="76"/>
      <c r="AE14" s="76"/>
      <c r="AF14" s="76"/>
      <c r="AG14" s="76"/>
      <c r="AH14" s="76"/>
      <c r="AI14" s="76"/>
      <c r="AJ14" s="76"/>
      <c r="AK14" s="76"/>
      <c r="AL14" s="76"/>
      <c r="AM14" s="76"/>
      <c r="AN14" s="76"/>
      <c r="AO14" s="76"/>
      <c r="AP14" s="76"/>
      <c r="AQ14" s="76"/>
      <c r="AR14" s="76"/>
      <c r="AS14" s="76"/>
      <c r="AT14" s="76"/>
      <c r="AU14" s="76"/>
      <c r="AV14" s="76"/>
      <c r="AW14" s="76"/>
      <c r="AX14" s="76"/>
      <c r="AY14" s="76"/>
      <c r="AZ14" s="76"/>
      <c r="BA14" s="76"/>
      <c r="BB14" s="76"/>
      <c r="BC14" s="76"/>
      <c r="BD14" s="76"/>
      <c r="BE14" s="76"/>
      <c r="BF14" s="76"/>
    </row>
    <row r="15" spans="1:58">
      <c r="B15" s="84">
        <f>CupDraw!I14</f>
        <v>7</v>
      </c>
      <c r="C15" s="71" t="str">
        <f>IF(CupDraw!J14="","",CupDraw!J14)</f>
        <v/>
      </c>
      <c r="D15" s="72" t="str">
        <f>IF(CupDraw!K14="","",CupDraw!K14)</f>
        <v/>
      </c>
      <c r="E15" s="81" t="str">
        <f>IF(CupDraw!L14="","",CupDraw!L14)</f>
        <v/>
      </c>
      <c r="F15" s="75"/>
      <c r="G15" s="58"/>
      <c r="H15" s="84">
        <f>CupDraw!O14</f>
        <v>7</v>
      </c>
      <c r="I15" s="68" t="str">
        <f>IF(CupDraw!P14="","",CupDraw!P14)</f>
        <v>Martin Molyneux</v>
      </c>
      <c r="J15" s="72">
        <f>IF(CupDraw!Q14="","",CupDraw!Q14)</f>
        <v>2.5600000000000005</v>
      </c>
      <c r="K15" s="81" t="str">
        <f>IF(CupDraw!R14="","",CupDraw!R14)</f>
        <v/>
      </c>
      <c r="L15" s="78"/>
      <c r="M15" s="58"/>
      <c r="N15" s="60">
        <f>CupDraw!U14</f>
        <v>7</v>
      </c>
      <c r="O15" s="68" t="str">
        <f>CupDraw!V14</f>
        <v>Chris Luck</v>
      </c>
      <c r="P15" s="72">
        <f>IF(CupDraw!W14="","",CupDraw!W14)</f>
        <v>-7</v>
      </c>
      <c r="Q15" s="81" t="str">
        <f>IF(CupDraw!X14="","",CupDraw!X14)</f>
        <v/>
      </c>
      <c r="R15" s="78"/>
      <c r="S15" s="58"/>
      <c r="T15" s="60">
        <f>CupDraw!AA14</f>
        <v>7</v>
      </c>
      <c r="U15" s="68" t="str">
        <f>CupDraw!AB14</f>
        <v>Mark Saunders</v>
      </c>
      <c r="V15" s="91" t="str">
        <f>IF(CupDraw!AC14="","",CupDraw!AC14)</f>
        <v/>
      </c>
      <c r="W15" s="73" t="str">
        <f>CupDraw!AD14</f>
        <v/>
      </c>
      <c r="X15" s="78"/>
      <c r="Y15" s="63"/>
      <c r="Z15" s="70" t="str">
        <f>IF(CupDraw!AH14="","",CupDraw!AH14)</f>
        <v/>
      </c>
      <c r="AA15" s="72" t="str">
        <f>IF(CupDraw!AI14="","",CupDraw!AI14)</f>
        <v/>
      </c>
      <c r="AB15" s="64" t="str">
        <f>IF(CupDraw!AJ14="","",CupDraw!AJ14)</f>
        <v/>
      </c>
      <c r="AC15" s="76"/>
      <c r="AD15" s="76"/>
      <c r="AE15" s="76"/>
      <c r="AF15" s="76"/>
      <c r="AG15" s="76"/>
      <c r="AH15" s="76"/>
      <c r="AI15" s="76"/>
      <c r="AJ15" s="76"/>
      <c r="AK15" s="76"/>
      <c r="AL15" s="76"/>
      <c r="AM15" s="76"/>
      <c r="AN15" s="76"/>
      <c r="AO15" s="76"/>
      <c r="AP15" s="76"/>
      <c r="AQ15" s="76"/>
      <c r="AR15" s="76"/>
      <c r="AS15" s="76"/>
      <c r="AT15" s="76"/>
      <c r="AU15" s="76"/>
      <c r="AV15" s="76"/>
      <c r="AW15" s="76"/>
      <c r="AX15" s="76"/>
      <c r="AY15" s="76"/>
      <c r="AZ15" s="76"/>
      <c r="BA15" s="76"/>
      <c r="BB15" s="76"/>
      <c r="BC15" s="76"/>
      <c r="BD15" s="76"/>
      <c r="BE15" s="76"/>
      <c r="BF15" s="76"/>
    </row>
    <row r="16" spans="1:58">
      <c r="B16" s="83"/>
      <c r="C16" s="71" t="str">
        <f>IF(CupDraw!J15="","",CupDraw!J15)</f>
        <v/>
      </c>
      <c r="D16" s="72" t="str">
        <f>IF(CupDraw!K15="","",CupDraw!K15)</f>
        <v/>
      </c>
      <c r="E16" s="122" t="str">
        <f>IF(CupDraw!L15="","",CupDraw!L15)</f>
        <v/>
      </c>
      <c r="F16" s="75"/>
      <c r="G16" s="58"/>
      <c r="H16" s="83"/>
      <c r="I16" s="68" t="str">
        <f>IF(CupDraw!P15="","",CupDraw!P15)</f>
        <v>Gareth Powell</v>
      </c>
      <c r="J16" s="72">
        <f>IF(CupDraw!Q15="","",CupDraw!Q15)</f>
        <v>-4.8</v>
      </c>
      <c r="K16" s="61" t="str">
        <f>IF(CupDraw!R15="","",CupDraw!R15)</f>
        <v/>
      </c>
      <c r="L16" s="78"/>
      <c r="M16" s="58"/>
      <c r="N16" s="63"/>
      <c r="O16" s="68" t="str">
        <f>CupDraw!V15</f>
        <v>Steve Carter</v>
      </c>
      <c r="P16" s="72">
        <f>IF(CupDraw!W15="","",CupDraw!W15)</f>
        <v>-4.95</v>
      </c>
      <c r="Q16" s="64" t="str">
        <f>IF(CupDraw!X15="","",CupDraw!X15)</f>
        <v/>
      </c>
      <c r="R16" s="78"/>
      <c r="S16" s="58"/>
      <c r="T16" s="63"/>
      <c r="U16" s="68" t="str">
        <f>CupDraw!AB15</f>
        <v>Steven Naylor</v>
      </c>
      <c r="V16" s="91" t="str">
        <f>IF(CupDraw!AC15="","",CupDraw!AC15)</f>
        <v/>
      </c>
      <c r="W16" s="64"/>
      <c r="X16" s="78"/>
      <c r="Y16" s="60"/>
      <c r="Z16" s="62" t="str">
        <f>IF(CupDraw!AH15="","",CupDraw!AH15)</f>
        <v/>
      </c>
      <c r="AA16" s="72" t="str">
        <f>IF(CupDraw!AI15="","",CupDraw!AI15)</f>
        <v/>
      </c>
      <c r="AB16" s="81" t="str">
        <f>IF(CupDraw!AJ15="","",CupDraw!AJ15)</f>
        <v/>
      </c>
      <c r="AC16" s="76"/>
      <c r="AD16" s="76"/>
      <c r="AE16" s="76"/>
      <c r="AF16" s="76"/>
      <c r="AG16" s="76"/>
      <c r="AH16" s="76"/>
      <c r="AI16" s="76"/>
      <c r="AJ16" s="76"/>
      <c r="AK16" s="76"/>
      <c r="AL16" s="76"/>
      <c r="AM16" s="76"/>
      <c r="AN16" s="76"/>
      <c r="AO16" s="76"/>
      <c r="AP16" s="76"/>
      <c r="AQ16" s="76"/>
      <c r="AR16" s="76"/>
      <c r="AS16" s="76"/>
      <c r="AT16" s="76"/>
      <c r="AU16" s="76"/>
      <c r="AV16" s="76"/>
      <c r="AW16" s="76"/>
      <c r="AX16" s="76"/>
      <c r="AY16" s="76"/>
      <c r="AZ16" s="76"/>
      <c r="BA16" s="76"/>
      <c r="BB16" s="76"/>
      <c r="BC16" s="76"/>
      <c r="BD16" s="76"/>
      <c r="BE16" s="76"/>
      <c r="BF16" s="76"/>
    </row>
    <row r="17" spans="2:58">
      <c r="B17" s="84">
        <f>CupDraw!I16</f>
        <v>8</v>
      </c>
      <c r="C17" s="71" t="str">
        <f>IF(CupDraw!J16="","",CupDraw!J16)</f>
        <v/>
      </c>
      <c r="D17" s="72" t="str">
        <f>IF(CupDraw!K16="","",CupDraw!K16)</f>
        <v/>
      </c>
      <c r="E17" s="81" t="str">
        <f>IF(CupDraw!L16="","",CupDraw!L16)</f>
        <v/>
      </c>
      <c r="F17" s="75"/>
      <c r="G17" s="58"/>
      <c r="H17" s="84">
        <f>CupDraw!O16</f>
        <v>8</v>
      </c>
      <c r="I17" s="68" t="str">
        <f>IF(CupDraw!P16="","",CupDraw!P16)</f>
        <v>Nigel Heyes</v>
      </c>
      <c r="J17" s="72">
        <f>IF(CupDraw!Q16="","",CupDraw!Q16)</f>
        <v>19.080991735537197</v>
      </c>
      <c r="K17" s="81" t="str">
        <f>IF(CupDraw!R16="","",CupDraw!R16)</f>
        <v/>
      </c>
      <c r="L17" s="78"/>
      <c r="M17" s="58"/>
      <c r="N17" s="60">
        <f>CupDraw!U16</f>
        <v>8</v>
      </c>
      <c r="O17" s="68" t="str">
        <f>CupDraw!V16</f>
        <v>Simon Kimble</v>
      </c>
      <c r="P17" s="72">
        <f>IF(CupDraw!W16="","",CupDraw!W16)</f>
        <v>-4.375</v>
      </c>
      <c r="Q17" s="81" t="str">
        <f>IF(CupDraw!X16="","",CupDraw!X16)</f>
        <v/>
      </c>
      <c r="R17" s="78"/>
      <c r="S17" s="58"/>
      <c r="T17" s="60">
        <f>CupDraw!AA16</f>
        <v>8</v>
      </c>
      <c r="U17" s="68" t="str">
        <f>CupDraw!AB16</f>
        <v>Nick Blocksidge</v>
      </c>
      <c r="V17" s="91" t="str">
        <f>IF(CupDraw!AC16="","",CupDraw!AC16)</f>
        <v/>
      </c>
      <c r="W17" s="73" t="str">
        <f>CupDraw!AD16</f>
        <v/>
      </c>
      <c r="X17" s="78"/>
      <c r="Y17" s="67"/>
      <c r="Z17" s="62" t="str">
        <f>IF(CupDraw!AH16="","",CupDraw!AH16)</f>
        <v/>
      </c>
      <c r="AA17" s="72" t="str">
        <f>IF(CupDraw!AI16="","",CupDraw!AI16)</f>
        <v/>
      </c>
      <c r="AB17" s="61" t="str">
        <f>IF(CupDraw!AJ16="","",CupDraw!AJ16)</f>
        <v/>
      </c>
      <c r="AC17" s="76"/>
      <c r="AD17" s="76"/>
      <c r="AE17" s="76"/>
      <c r="AF17" s="76"/>
      <c r="AG17" s="76"/>
      <c r="AH17" s="76"/>
      <c r="AI17" s="76"/>
      <c r="AJ17" s="76"/>
      <c r="AK17" s="76"/>
      <c r="AL17" s="76"/>
      <c r="AM17" s="76"/>
      <c r="AN17" s="76"/>
      <c r="AO17" s="76"/>
      <c r="AP17" s="76"/>
      <c r="AQ17" s="76"/>
      <c r="AR17" s="76"/>
      <c r="AS17" s="76"/>
      <c r="AT17" s="76"/>
      <c r="AU17" s="76"/>
      <c r="AV17" s="76"/>
      <c r="AW17" s="76"/>
      <c r="AX17" s="76"/>
      <c r="AY17" s="76"/>
      <c r="AZ17" s="76"/>
      <c r="BA17" s="76"/>
      <c r="BB17" s="76"/>
      <c r="BC17" s="76"/>
      <c r="BD17" s="76"/>
      <c r="BE17" s="76"/>
      <c r="BF17" s="76"/>
    </row>
    <row r="18" spans="2:58">
      <c r="B18" s="83"/>
      <c r="C18" s="71" t="str">
        <f>IF(CupDraw!J17="","",CupDraw!J17)</f>
        <v/>
      </c>
      <c r="D18" s="72" t="str">
        <f>IF(CupDraw!K17="","",CupDraw!K17)</f>
        <v/>
      </c>
      <c r="E18" s="122" t="str">
        <f>IF(CupDraw!L17="","",CupDraw!L17)</f>
        <v/>
      </c>
      <c r="F18" s="75"/>
      <c r="G18" s="58"/>
      <c r="H18" s="83"/>
      <c r="I18" s="68" t="str">
        <f>IF(CupDraw!P17="","",CupDraw!P17)</f>
        <v>Stephen Barr</v>
      </c>
      <c r="J18" s="72">
        <f>IF(CupDraw!Q17="","",CupDraw!Q17)</f>
        <v>2.5600000000000005</v>
      </c>
      <c r="K18" s="61" t="str">
        <f>IF(CupDraw!R17="","",CupDraw!R17)</f>
        <v/>
      </c>
      <c r="L18" s="78"/>
      <c r="M18" s="58"/>
      <c r="N18" s="63"/>
      <c r="O18" s="68" t="str">
        <f>CupDraw!V17</f>
        <v>Howard Bradley</v>
      </c>
      <c r="P18" s="72">
        <f>IF(CupDraw!W17="","",CupDraw!W17)</f>
        <v>-1.125</v>
      </c>
      <c r="Q18" s="64" t="str">
        <f>IF(CupDraw!X17="","",CupDraw!X17)</f>
        <v/>
      </c>
      <c r="R18" s="78"/>
      <c r="S18" s="58"/>
      <c r="T18" s="67"/>
      <c r="U18" s="68" t="str">
        <f>CupDraw!AB17</f>
        <v>Paul Adderley</v>
      </c>
      <c r="V18" s="91" t="str">
        <f>IF(CupDraw!AC17="","",CupDraw!AC17)</f>
        <v/>
      </c>
      <c r="W18" s="61"/>
      <c r="X18" s="78"/>
      <c r="Y18" s="60"/>
      <c r="Z18" s="70" t="str">
        <f>IF(CupDraw!AH17="","",CupDraw!AH17)</f>
        <v/>
      </c>
      <c r="AA18" s="72" t="str">
        <f>IF(CupDraw!AI17="","",CupDraw!AI17)</f>
        <v/>
      </c>
      <c r="AB18" s="81" t="str">
        <f>IF(CupDraw!AJ17="","",CupDraw!AJ17)</f>
        <v/>
      </c>
      <c r="AC18" s="76"/>
      <c r="AD18" s="76"/>
      <c r="AE18" s="76"/>
      <c r="AF18" s="76"/>
      <c r="AG18" s="76"/>
      <c r="AH18" s="76"/>
      <c r="AI18" s="76"/>
      <c r="AJ18" s="76"/>
      <c r="AK18" s="76"/>
      <c r="AL18" s="76"/>
      <c r="AM18" s="76"/>
      <c r="AN18" s="76"/>
      <c r="AO18" s="76"/>
      <c r="AP18" s="76"/>
      <c r="AQ18" s="76"/>
      <c r="AR18" s="76"/>
      <c r="AS18" s="76"/>
      <c r="AT18" s="76"/>
      <c r="AU18" s="76"/>
      <c r="AV18" s="76"/>
      <c r="AW18" s="76"/>
      <c r="AX18" s="76"/>
      <c r="AY18" s="76"/>
      <c r="AZ18" s="76"/>
      <c r="BA18" s="76"/>
      <c r="BB18" s="76"/>
      <c r="BC18" s="76"/>
      <c r="BD18" s="76"/>
      <c r="BE18" s="76"/>
      <c r="BF18" s="76"/>
    </row>
    <row r="19" spans="2:58">
      <c r="B19" s="84">
        <f>CupDraw!I18</f>
        <v>9</v>
      </c>
      <c r="C19" s="71" t="str">
        <f>IF(CupDraw!J18="","",CupDraw!J18)</f>
        <v/>
      </c>
      <c r="D19" s="72" t="str">
        <f>IF(CupDraw!K18="","",CupDraw!K18)</f>
        <v/>
      </c>
      <c r="E19" s="81" t="str">
        <f>IF(CupDraw!L18="","",CupDraw!L18)</f>
        <v/>
      </c>
      <c r="F19" s="75"/>
      <c r="G19" s="58"/>
      <c r="H19" s="84">
        <f>CupDraw!O18</f>
        <v>9</v>
      </c>
      <c r="I19" s="68" t="str">
        <f>IF(CupDraw!P18="","",CupDraw!P18)</f>
        <v>Paul Allen</v>
      </c>
      <c r="J19" s="72">
        <f>IF(CupDraw!Q18="","",CupDraw!Q18)</f>
        <v>-10</v>
      </c>
      <c r="K19" s="81" t="str">
        <f>IF(CupDraw!R18="","",CupDraw!R18)</f>
        <v/>
      </c>
      <c r="L19" s="78"/>
      <c r="M19" s="58"/>
      <c r="N19" s="60">
        <f>CupDraw!U18</f>
        <v>9</v>
      </c>
      <c r="O19" s="68" t="str">
        <f>CupDraw!V18</f>
        <v>Jack Walsh</v>
      </c>
      <c r="P19" s="72">
        <f>IF(CupDraw!W18="","",CupDraw!W18)</f>
        <v>-5.25</v>
      </c>
      <c r="Q19" s="81" t="str">
        <f>IF(CupDraw!X18="","",CupDraw!X18)</f>
        <v/>
      </c>
      <c r="R19" s="78"/>
      <c r="S19" s="58"/>
      <c r="T19" s="58"/>
      <c r="U19" s="58"/>
      <c r="V19" s="58"/>
      <c r="W19" s="58"/>
      <c r="X19" s="80"/>
      <c r="Y19" s="63"/>
      <c r="Z19" s="70" t="str">
        <f>IF(CupDraw!AH18="","",CupDraw!AH18)</f>
        <v/>
      </c>
      <c r="AA19" s="72" t="str">
        <f>IF(CupDraw!AI18="","",CupDraw!AI18)</f>
        <v/>
      </c>
      <c r="AB19" s="64" t="str">
        <f>IF(CupDraw!AJ18="","",CupDraw!AJ18)</f>
        <v/>
      </c>
      <c r="AC19" s="76"/>
      <c r="AD19" s="76"/>
      <c r="AE19" s="76"/>
      <c r="AF19" s="76"/>
      <c r="AG19" s="76"/>
      <c r="AH19" s="76"/>
      <c r="AI19" s="76"/>
      <c r="AJ19" s="76"/>
      <c r="AK19" s="76"/>
      <c r="AL19" s="76"/>
      <c r="AM19" s="76"/>
      <c r="AN19" s="76"/>
      <c r="AO19" s="76"/>
      <c r="AP19" s="76"/>
      <c r="AQ19" s="76"/>
      <c r="AR19" s="76"/>
      <c r="AS19" s="76"/>
      <c r="AT19" s="76"/>
      <c r="AU19" s="76"/>
      <c r="AV19" s="76"/>
      <c r="AW19" s="76"/>
      <c r="AX19" s="76"/>
      <c r="AY19" s="76"/>
      <c r="AZ19" s="76"/>
      <c r="BA19" s="76"/>
      <c r="BB19" s="76"/>
      <c r="BC19" s="76"/>
      <c r="BD19" s="76"/>
      <c r="BE19" s="76"/>
      <c r="BF19" s="76"/>
    </row>
    <row r="20" spans="2:58">
      <c r="B20" s="83"/>
      <c r="C20" s="71" t="str">
        <f>IF(CupDraw!J19="","",CupDraw!J19)</f>
        <v/>
      </c>
      <c r="D20" s="72" t="str">
        <f>IF(CupDraw!K19="","",CupDraw!K19)</f>
        <v/>
      </c>
      <c r="E20" s="122" t="str">
        <f>IF(CupDraw!L19="","",CupDraw!L19)</f>
        <v/>
      </c>
      <c r="F20" s="75"/>
      <c r="G20" s="58"/>
      <c r="H20" s="83"/>
      <c r="I20" s="68" t="str">
        <f>IF(CupDraw!P19="","",CupDraw!P19)</f>
        <v>Rob England</v>
      </c>
      <c r="J20" s="72">
        <f>IF(CupDraw!Q19="","",CupDraw!Q19)</f>
        <v>-1.125</v>
      </c>
      <c r="K20" s="61" t="str">
        <f>IF(CupDraw!R19="","",CupDraw!R19)</f>
        <v/>
      </c>
      <c r="L20" s="78"/>
      <c r="M20" s="58"/>
      <c r="N20" s="63"/>
      <c r="O20" s="68" t="str">
        <f>CupDraw!V19</f>
        <v>Lennie Bow</v>
      </c>
      <c r="P20" s="72">
        <f>IF(CupDraw!W19="","",CupDraw!W19)</f>
        <v>-5.5</v>
      </c>
      <c r="Q20" s="64" t="str">
        <f>IF(CupDraw!X19="","",CupDraw!X19)</f>
        <v/>
      </c>
      <c r="R20" s="78"/>
      <c r="S20" s="58"/>
      <c r="T20" s="58"/>
      <c r="U20" s="58"/>
      <c r="V20" s="58"/>
      <c r="W20" s="58"/>
      <c r="X20" s="80"/>
      <c r="Y20" s="60"/>
      <c r="Z20" s="62" t="str">
        <f>IF(CupDraw!AH19="","",CupDraw!AH19)</f>
        <v/>
      </c>
      <c r="AA20" s="72" t="str">
        <f>IF(CupDraw!AI19="","",CupDraw!AI19)</f>
        <v/>
      </c>
      <c r="AB20" s="81" t="str">
        <f>IF(CupDraw!AJ19="","",CupDraw!AJ19)</f>
        <v/>
      </c>
      <c r="AC20" s="76"/>
      <c r="AD20" s="76"/>
      <c r="AE20" s="76"/>
      <c r="AF20" s="76"/>
      <c r="AG20" s="76"/>
      <c r="AH20" s="76"/>
      <c r="AI20" s="76"/>
      <c r="AJ20" s="76"/>
      <c r="AK20" s="76"/>
      <c r="AL20" s="76"/>
      <c r="AM20" s="76"/>
      <c r="AN20" s="76"/>
      <c r="AO20" s="76"/>
      <c r="AP20" s="76"/>
      <c r="AQ20" s="76"/>
      <c r="AR20" s="76"/>
      <c r="AS20" s="76"/>
      <c r="AT20" s="76"/>
      <c r="AU20" s="76"/>
      <c r="AV20" s="76"/>
      <c r="AW20" s="76"/>
      <c r="AX20" s="76"/>
      <c r="AY20" s="76"/>
      <c r="AZ20" s="76"/>
      <c r="BA20" s="76"/>
      <c r="BB20" s="76"/>
      <c r="BC20" s="76"/>
      <c r="BD20" s="76"/>
      <c r="BE20" s="76"/>
      <c r="BF20" s="76"/>
    </row>
    <row r="21" spans="2:58">
      <c r="B21" s="84">
        <f>CupDraw!I20</f>
        <v>10</v>
      </c>
      <c r="C21" s="71" t="str">
        <f>IF(CupDraw!J20="","",CupDraw!J20)</f>
        <v/>
      </c>
      <c r="D21" s="72" t="str">
        <f>IF(CupDraw!K20="","",CupDraw!K20)</f>
        <v/>
      </c>
      <c r="E21" s="81" t="str">
        <f>IF(CupDraw!L20="","",CupDraw!L20)</f>
        <v/>
      </c>
      <c r="F21" s="75"/>
      <c r="G21" s="58"/>
      <c r="H21" s="84">
        <f>CupDraw!O20</f>
        <v>10</v>
      </c>
      <c r="I21" s="68" t="str">
        <f>IF(CupDraw!P20="","",CupDraw!P20)</f>
        <v>Vinny Topping</v>
      </c>
      <c r="J21" s="72">
        <f>IF(CupDraw!Q20="","",CupDraw!Q20)</f>
        <v>1.120000000000001</v>
      </c>
      <c r="K21" s="81" t="str">
        <f>IF(CupDraw!R20="","",CupDraw!R20)</f>
        <v/>
      </c>
      <c r="L21" s="78"/>
      <c r="M21" s="58"/>
      <c r="N21" s="60">
        <f>CupDraw!U20</f>
        <v>10</v>
      </c>
      <c r="O21" s="68" t="str">
        <f>CupDraw!V20</f>
        <v>Graham Miller</v>
      </c>
      <c r="P21" s="72">
        <f>IF(CupDraw!W20="","",CupDraw!W20)</f>
        <v>-4.95</v>
      </c>
      <c r="Q21" s="81" t="str">
        <f>IF(CupDraw!X20="","",CupDraw!X20)</f>
        <v/>
      </c>
      <c r="R21" s="78"/>
      <c r="S21" s="58"/>
      <c r="T21" s="58"/>
      <c r="U21" s="58"/>
      <c r="V21" s="58"/>
      <c r="W21" s="58"/>
      <c r="X21" s="80"/>
      <c r="Y21" s="67"/>
      <c r="Z21" s="62" t="str">
        <f>IF(CupDraw!AH20="","",CupDraw!AH20)</f>
        <v/>
      </c>
      <c r="AA21" s="72" t="str">
        <f>IF(CupDraw!AI20="","",CupDraw!AI20)</f>
        <v/>
      </c>
      <c r="AB21" s="61" t="str">
        <f>IF(CupDraw!AJ20="","",CupDraw!AJ20)</f>
        <v/>
      </c>
      <c r="AC21" s="76"/>
      <c r="AD21" s="76"/>
      <c r="AE21" s="76"/>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row>
    <row r="22" spans="2:58">
      <c r="B22" s="83"/>
      <c r="C22" s="71" t="str">
        <f>IF(CupDraw!J21="","",CupDraw!J21)</f>
        <v/>
      </c>
      <c r="D22" s="72" t="str">
        <f>IF(CupDraw!K21="","",CupDraw!K21)</f>
        <v/>
      </c>
      <c r="E22" s="122" t="str">
        <f>IF(CupDraw!L21="","",CupDraw!L21)</f>
        <v/>
      </c>
      <c r="F22" s="75"/>
      <c r="G22" s="58"/>
      <c r="H22" s="83"/>
      <c r="I22" s="68" t="str">
        <f>IF(CupDraw!P21="","",CupDraw!P21)</f>
        <v>Mark Bunn</v>
      </c>
      <c r="J22" s="72">
        <f>IF(CupDraw!Q21="","",CupDraw!Q21)</f>
        <v>-4.8</v>
      </c>
      <c r="K22" s="61" t="str">
        <f>IF(CupDraw!R21="","",CupDraw!R21)</f>
        <v/>
      </c>
      <c r="L22" s="78"/>
      <c r="M22" s="58"/>
      <c r="N22" s="63"/>
      <c r="O22" s="68" t="str">
        <f>CupDraw!V21</f>
        <v>Martin Tarbuck</v>
      </c>
      <c r="P22" s="72">
        <f>IF(CupDraw!W21="","",CupDraw!W21)</f>
        <v>-10</v>
      </c>
      <c r="Q22" s="64" t="str">
        <f>IF(CupDraw!X21="","",CupDraw!X21)</f>
        <v/>
      </c>
      <c r="R22" s="78"/>
      <c r="S22" s="58"/>
      <c r="T22" s="328" t="str">
        <f>CupDraw!AA21</f>
        <v>Earlier drawn ties</v>
      </c>
      <c r="U22" s="103"/>
      <c r="V22" s="603"/>
      <c r="W22" s="103"/>
      <c r="X22" s="80"/>
      <c r="Y22" s="76"/>
      <c r="Z22" s="76"/>
      <c r="AA22" s="76"/>
      <c r="AB22" s="76"/>
      <c r="AC22" s="76"/>
      <c r="AD22" s="76"/>
      <c r="AE22" s="76"/>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row>
    <row r="23" spans="2:58">
      <c r="B23" s="84">
        <f>CupDraw!I22</f>
        <v>11</v>
      </c>
      <c r="C23" s="71" t="str">
        <f>IF(CupDraw!J22="","",CupDraw!J22)</f>
        <v/>
      </c>
      <c r="D23" s="72" t="str">
        <f>IF(CupDraw!K22="","",CupDraw!K22)</f>
        <v/>
      </c>
      <c r="E23" s="81" t="str">
        <f>IF(CupDraw!L22="","",CupDraw!L22)</f>
        <v/>
      </c>
      <c r="F23" s="75"/>
      <c r="G23" s="58"/>
      <c r="H23" s="84">
        <f>CupDraw!O22</f>
        <v>11</v>
      </c>
      <c r="I23" s="68" t="str">
        <f>IF(CupDraw!P22="","",CupDraw!P22)</f>
        <v>Paul Fairhurst</v>
      </c>
      <c r="J23" s="72">
        <f>IF(CupDraw!Q22="","",CupDraw!Q22)</f>
        <v>5.259999999999998</v>
      </c>
      <c r="K23" s="81" t="str">
        <f>IF(CupDraw!R22="","",CupDraw!R22)</f>
        <v/>
      </c>
      <c r="L23" s="78"/>
      <c r="M23" s="58"/>
      <c r="N23" s="60">
        <f>CupDraw!U22</f>
        <v>11</v>
      </c>
      <c r="O23" s="68" t="str">
        <f>CupDraw!V22</f>
        <v>Katy Savory</v>
      </c>
      <c r="P23" s="72">
        <f>IF(CupDraw!W22="","",CupDraw!W22)</f>
        <v>-5.1666666666666661</v>
      </c>
      <c r="Q23" s="81" t="str">
        <f>IF(CupDraw!X22="","",CupDraw!X22)</f>
        <v/>
      </c>
      <c r="R23" s="78"/>
      <c r="S23" s="58"/>
      <c r="T23" s="60"/>
      <c r="U23" s="70"/>
      <c r="V23" s="72"/>
      <c r="W23" s="81"/>
      <c r="X23" s="80"/>
      <c r="Y23" s="76"/>
      <c r="Z23" s="76"/>
      <c r="AA23" s="76"/>
      <c r="AB23" s="76"/>
      <c r="AC23" s="76"/>
      <c r="AD23" s="76"/>
      <c r="AE23" s="76"/>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row>
    <row r="24" spans="2:58">
      <c r="B24" s="83"/>
      <c r="C24" s="71" t="str">
        <f>IF(CupDraw!J23="","",CupDraw!J23)</f>
        <v/>
      </c>
      <c r="D24" s="72" t="str">
        <f>IF(CupDraw!K23="","",CupDraw!K23)</f>
        <v/>
      </c>
      <c r="E24" s="122" t="str">
        <f>IF(CupDraw!L23="","",CupDraw!L23)</f>
        <v/>
      </c>
      <c r="F24" s="75"/>
      <c r="G24" s="58"/>
      <c r="H24" s="83"/>
      <c r="I24" s="68" t="str">
        <f>IF(CupDraw!P23="","",CupDraw!P23)</f>
        <v>Paul Barnes</v>
      </c>
      <c r="J24" s="72">
        <f>IF(CupDraw!Q23="","",CupDraw!Q23)</f>
        <v>-5.5555555555555554</v>
      </c>
      <c r="K24" s="61" t="str">
        <f>IF(CupDraw!R23="","",CupDraw!R23)</f>
        <v/>
      </c>
      <c r="L24" s="78"/>
      <c r="M24" s="58"/>
      <c r="N24" s="63"/>
      <c r="O24" s="68" t="str">
        <f>CupDraw!V23</f>
        <v>Simon Greenhalgh</v>
      </c>
      <c r="P24" s="72">
        <f>IF(CupDraw!W23="","",CupDraw!W23)</f>
        <v>-7</v>
      </c>
      <c r="Q24" s="64" t="str">
        <f>IF(CupDraw!X23="","",CupDraw!X23)</f>
        <v/>
      </c>
      <c r="R24" s="78"/>
      <c r="S24" s="58"/>
      <c r="T24" s="63"/>
      <c r="U24" s="70"/>
      <c r="V24" s="72"/>
      <c r="W24" s="64"/>
      <c r="X24" s="80"/>
      <c r="Y24" s="76"/>
      <c r="Z24" s="76"/>
      <c r="AA24" s="76"/>
      <c r="AB24" s="76"/>
      <c r="AC24" s="76"/>
      <c r="AD24" s="76"/>
      <c r="AE24" s="76"/>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row>
    <row r="25" spans="2:58">
      <c r="B25" s="84">
        <f>CupDraw!I24</f>
        <v>12</v>
      </c>
      <c r="C25" s="71" t="str">
        <f>IF(CupDraw!J24="","",CupDraw!J24)</f>
        <v/>
      </c>
      <c r="D25" s="72" t="str">
        <f>IF(CupDraw!K24="","",CupDraw!K24)</f>
        <v/>
      </c>
      <c r="E25" s="81" t="str">
        <f>IF(CupDraw!L24="","",CupDraw!L24)</f>
        <v/>
      </c>
      <c r="F25" s="58"/>
      <c r="G25" s="58"/>
      <c r="H25" s="84">
        <f>CupDraw!O24</f>
        <v>12</v>
      </c>
      <c r="I25" s="68" t="str">
        <f>IF(CupDraw!P24="","",CupDraw!P24)</f>
        <v>Chris Griffin</v>
      </c>
      <c r="J25" s="72">
        <f>IF(CupDraw!Q24="","",CupDraw!Q24)</f>
        <v>-4.8</v>
      </c>
      <c r="K25" s="81" t="str">
        <f>IF(CupDraw!R24="","",CupDraw!R24)</f>
        <v/>
      </c>
      <c r="L25" s="78"/>
      <c r="M25" s="58"/>
      <c r="N25" s="60">
        <f>CupDraw!U24</f>
        <v>12</v>
      </c>
      <c r="O25" s="68" t="str">
        <f>CupDraw!V24</f>
        <v>Bob Bailey</v>
      </c>
      <c r="P25" s="72">
        <f>IF(CupDraw!W24="","",CupDraw!W24)</f>
        <v>-5.25</v>
      </c>
      <c r="Q25" s="81" t="str">
        <f>IF(CupDraw!X24="","",CupDraw!X24)</f>
        <v/>
      </c>
      <c r="R25" s="78"/>
      <c r="S25" s="58"/>
      <c r="T25" s="60"/>
      <c r="U25" s="62" t="str">
        <f>IF(CupDraw!AB24="","",CupDraw!AB24)</f>
        <v/>
      </c>
      <c r="V25" s="72" t="str">
        <f>IF(CupDraw!AC24="","",CupDraw!AC24)</f>
        <v/>
      </c>
      <c r="W25" s="81"/>
      <c r="X25" s="80"/>
      <c r="Y25" s="76"/>
      <c r="Z25" s="76"/>
      <c r="AA25" s="76"/>
      <c r="AB25" s="76"/>
      <c r="AC25" s="76"/>
      <c r="AD25" s="76"/>
      <c r="AE25" s="76"/>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row>
    <row r="26" spans="2:58">
      <c r="B26" s="83"/>
      <c r="C26" s="71" t="str">
        <f>IF(CupDraw!J25="","",CupDraw!J25)</f>
        <v/>
      </c>
      <c r="D26" s="72" t="str">
        <f>IF(CupDraw!K25="","",CupDraw!K25)</f>
        <v/>
      </c>
      <c r="E26" s="122" t="str">
        <f>IF(CupDraw!L25="","",CupDraw!L25)</f>
        <v/>
      </c>
      <c r="F26" s="58"/>
      <c r="G26" s="58"/>
      <c r="H26" s="83"/>
      <c r="I26" s="68" t="str">
        <f>IF(CupDraw!P25="","",CupDraw!P25)</f>
        <v>Mike Penk</v>
      </c>
      <c r="J26" s="72">
        <f>IF(CupDraw!Q25="","",CupDraw!Q25)</f>
        <v>3.3454545454545457</v>
      </c>
      <c r="K26" s="61" t="str">
        <f>IF(CupDraw!R25="","",CupDraw!R25)</f>
        <v/>
      </c>
      <c r="L26" s="78"/>
      <c r="M26" s="58"/>
      <c r="N26" s="63"/>
      <c r="O26" s="68" t="str">
        <f>CupDraw!V25</f>
        <v>Naaman Boyd</v>
      </c>
      <c r="P26" s="72">
        <f>IF(CupDraw!W25="","",CupDraw!W25)</f>
        <v>0.48571428571428488</v>
      </c>
      <c r="Q26" s="64" t="str">
        <f>IF(CupDraw!X25="","",CupDraw!X25)</f>
        <v/>
      </c>
      <c r="R26" s="78"/>
      <c r="S26" s="58"/>
      <c r="T26" s="67"/>
      <c r="U26" s="62" t="str">
        <f>IF(CupDraw!AB25="","",CupDraw!AB25)</f>
        <v/>
      </c>
      <c r="V26" s="72" t="str">
        <f>IF(CupDraw!AC25="","",CupDraw!AC25)</f>
        <v/>
      </c>
      <c r="W26" s="61"/>
      <c r="X26" s="80"/>
      <c r="Y26" s="76"/>
      <c r="Z26" s="76"/>
      <c r="AA26" s="76"/>
      <c r="AB26" s="76"/>
      <c r="AC26" s="76"/>
      <c r="AD26" s="76"/>
      <c r="AE26" s="76"/>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row>
    <row r="27" spans="2:58">
      <c r="B27" s="84">
        <f>CupDraw!I26</f>
        <v>13</v>
      </c>
      <c r="C27" s="71" t="str">
        <f>IF(CupDraw!J26="","",CupDraw!J26)</f>
        <v/>
      </c>
      <c r="D27" s="72" t="str">
        <f>IF(CupDraw!K26="","",CupDraw!K26)</f>
        <v/>
      </c>
      <c r="E27" s="81" t="str">
        <f>IF(CupDraw!L26="","",CupDraw!L26)</f>
        <v/>
      </c>
      <c r="F27" s="58"/>
      <c r="G27" s="58"/>
      <c r="H27" s="84">
        <f>CupDraw!O26</f>
        <v>13</v>
      </c>
      <c r="I27" s="68" t="str">
        <f>IF(CupDraw!P26="","",CupDraw!P26)</f>
        <v>Chris Luck</v>
      </c>
      <c r="J27" s="72">
        <f>IF(CupDraw!Q26="","",CupDraw!Q26)</f>
        <v>12</v>
      </c>
      <c r="K27" s="81" t="str">
        <f>IF(CupDraw!R26="","",CupDraw!R26)</f>
        <v/>
      </c>
      <c r="L27" s="78"/>
      <c r="M27" s="58"/>
      <c r="N27" s="60">
        <f>CupDraw!U26</f>
        <v>13</v>
      </c>
      <c r="O27" s="68" t="str">
        <f>CupDraw!V26</f>
        <v>Alan White</v>
      </c>
      <c r="P27" s="72">
        <f>IF(CupDraw!W26="","",CupDraw!W26)</f>
        <v>-7</v>
      </c>
      <c r="Q27" s="81" t="str">
        <f>IF(CupDraw!X26="","",CupDraw!X26)</f>
        <v/>
      </c>
      <c r="R27" s="78"/>
      <c r="S27" s="58"/>
      <c r="T27" s="60"/>
      <c r="U27" s="70" t="str">
        <f>IF(CupDraw!AB26="","",CupDraw!AB26)</f>
        <v/>
      </c>
      <c r="V27" s="72" t="str">
        <f>IF(CupDraw!AC26="","",CupDraw!AC26)</f>
        <v/>
      </c>
      <c r="W27" s="81" t="str">
        <f>CupDraw!AD26</f>
        <v/>
      </c>
      <c r="X27" s="80"/>
      <c r="Y27" s="76"/>
      <c r="Z27" s="76"/>
      <c r="AA27" s="76"/>
      <c r="AB27" s="76"/>
      <c r="AC27" s="76"/>
      <c r="AD27" s="76"/>
      <c r="AE27" s="76"/>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row>
    <row r="28" spans="2:58">
      <c r="B28" s="83"/>
      <c r="C28" s="71" t="str">
        <f>IF(CupDraw!J27="","",CupDraw!J27)</f>
        <v/>
      </c>
      <c r="D28" s="72" t="str">
        <f>IF(CupDraw!K27="","",CupDraw!K27)</f>
        <v/>
      </c>
      <c r="E28" s="122" t="str">
        <f>IF(CupDraw!L27="","",CupDraw!L27)</f>
        <v/>
      </c>
      <c r="F28" s="58"/>
      <c r="G28" s="58"/>
      <c r="H28" s="83"/>
      <c r="I28" s="68" t="str">
        <f>IF(CupDraw!P27="","",CupDraw!P27)</f>
        <v>Chris Bow</v>
      </c>
      <c r="J28" s="72">
        <f>IF(CupDraw!Q27="","",CupDraw!Q27)</f>
        <v>-7</v>
      </c>
      <c r="K28" s="61" t="str">
        <f>IF(CupDraw!R27="","",CupDraw!R27)</f>
        <v/>
      </c>
      <c r="L28" s="78"/>
      <c r="M28" s="58"/>
      <c r="N28" s="63"/>
      <c r="O28" s="68" t="str">
        <f>CupDraw!V27</f>
        <v>Mark Saunders</v>
      </c>
      <c r="P28" s="72">
        <f>IF(CupDraw!W27="","",CupDraw!W27)</f>
        <v>-0.92857142857142883</v>
      </c>
      <c r="Q28" s="64" t="str">
        <f>IF(CupDraw!X27="","",CupDraw!X27)</f>
        <v/>
      </c>
      <c r="R28" s="78"/>
      <c r="S28" s="58"/>
      <c r="T28" s="63"/>
      <c r="U28" s="70" t="str">
        <f>IF(CupDraw!AB27="","",CupDraw!AB27)</f>
        <v/>
      </c>
      <c r="V28" s="72" t="str">
        <f>IF(CupDraw!AC27="","",CupDraw!AC27)</f>
        <v/>
      </c>
      <c r="W28" s="64"/>
      <c r="X28" s="80"/>
      <c r="Y28" s="76"/>
      <c r="Z28" s="76"/>
      <c r="AA28" s="76"/>
      <c r="AB28" s="76"/>
      <c r="AC28" s="76"/>
      <c r="AD28" s="76"/>
      <c r="AE28" s="76"/>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row>
    <row r="29" spans="2:58">
      <c r="B29" s="84">
        <f>CupDraw!I28</f>
        <v>14</v>
      </c>
      <c r="C29" s="71" t="str">
        <f>IF(CupDraw!J28="","",CupDraw!J28)</f>
        <v/>
      </c>
      <c r="D29" s="72" t="str">
        <f>IF(CupDraw!K28="","",CupDraw!K28)</f>
        <v/>
      </c>
      <c r="E29" s="81" t="str">
        <f>IF(CupDraw!L28="","",CupDraw!L28)</f>
        <v/>
      </c>
      <c r="F29" s="58"/>
      <c r="G29" s="58"/>
      <c r="H29" s="84">
        <f>CupDraw!O28</f>
        <v>14</v>
      </c>
      <c r="I29" s="68" t="str">
        <f>IF(CupDraw!P28="","",CupDraw!P28)</f>
        <v>Dan Gibbard</v>
      </c>
      <c r="J29" s="72">
        <f>IF(CupDraw!Q28="","",CupDraw!Q28)</f>
        <v>-7</v>
      </c>
      <c r="K29" s="81" t="str">
        <f>IF(CupDraw!R28="","",CupDraw!R28)</f>
        <v/>
      </c>
      <c r="L29" s="78"/>
      <c r="M29" s="58"/>
      <c r="N29" s="60">
        <f>CupDraw!U28</f>
        <v>14</v>
      </c>
      <c r="O29" s="68" t="str">
        <f>CupDraw!V28</f>
        <v>Dot Bow</v>
      </c>
      <c r="P29" s="72">
        <f>IF(CupDraw!W28="","",CupDraw!W28)</f>
        <v>-7</v>
      </c>
      <c r="Q29" s="81" t="str">
        <f>IF(CupDraw!X28="","",CupDraw!X28)</f>
        <v/>
      </c>
      <c r="R29" s="78"/>
      <c r="S29" s="58"/>
      <c r="T29" s="60"/>
      <c r="U29" s="62" t="str">
        <f>IF(CupDraw!AB28="","",CupDraw!AB28)</f>
        <v/>
      </c>
      <c r="V29" s="72" t="str">
        <f>IF(CupDraw!AC28="","",CupDraw!AC28)</f>
        <v/>
      </c>
      <c r="W29" s="81" t="str">
        <f>CupDraw!AD28</f>
        <v/>
      </c>
      <c r="X29" s="80"/>
      <c r="Y29" s="76"/>
      <c r="Z29" s="76"/>
      <c r="AA29" s="76"/>
      <c r="AB29" s="76"/>
      <c r="AC29" s="76"/>
      <c r="AD29" s="76"/>
      <c r="AE29" s="76"/>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row>
    <row r="30" spans="2:58">
      <c r="B30" s="83"/>
      <c r="C30" s="71" t="str">
        <f>IF(CupDraw!J29="","",CupDraw!J29)</f>
        <v/>
      </c>
      <c r="D30" s="72" t="str">
        <f>IF(CupDraw!K29="","",CupDraw!K29)</f>
        <v/>
      </c>
      <c r="E30" s="122" t="str">
        <f>IF(CupDraw!L29="","",CupDraw!L29)</f>
        <v/>
      </c>
      <c r="F30" s="58"/>
      <c r="G30" s="58"/>
      <c r="H30" s="83"/>
      <c r="I30" s="68" t="str">
        <f>IF(CupDraw!P29="","",CupDraw!P29)</f>
        <v>Steve Carter</v>
      </c>
      <c r="J30" s="72">
        <f>IF(CupDraw!Q29="","",CupDraw!Q29)</f>
        <v>-0.8888888888888884</v>
      </c>
      <c r="K30" s="61" t="str">
        <f>IF(CupDraw!R29="","",CupDraw!R29)</f>
        <v/>
      </c>
      <c r="L30" s="78"/>
      <c r="M30" s="58"/>
      <c r="N30" s="63"/>
      <c r="O30" s="68" t="str">
        <f>CupDraw!V29</f>
        <v>Steven Naylor</v>
      </c>
      <c r="P30" s="72">
        <f>IF(CupDraw!W29="","",CupDraw!W29)</f>
        <v>-4.7</v>
      </c>
      <c r="Q30" s="64" t="str">
        <f>IF(CupDraw!X29="","",CupDraw!X29)</f>
        <v/>
      </c>
      <c r="R30" s="78"/>
      <c r="S30" s="58"/>
      <c r="T30" s="67"/>
      <c r="U30" s="62" t="str">
        <f>IF(CupDraw!AB29="","",CupDraw!AB29)</f>
        <v/>
      </c>
      <c r="V30" s="72" t="str">
        <f>IF(CupDraw!AC29="","",CupDraw!AC29)</f>
        <v/>
      </c>
      <c r="W30" s="61"/>
      <c r="X30" s="80"/>
      <c r="Y30" s="76"/>
      <c r="Z30" s="76"/>
      <c r="AA30" s="76"/>
      <c r="AB30" s="76"/>
      <c r="AC30" s="76"/>
      <c r="AD30" s="76"/>
      <c r="AE30" s="76"/>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row>
    <row r="31" spans="2:58">
      <c r="B31" s="84">
        <f>CupDraw!I30</f>
        <v>15</v>
      </c>
      <c r="C31" s="71" t="str">
        <f>IF(CupDraw!J30="","",CupDraw!J30)</f>
        <v/>
      </c>
      <c r="D31" s="72" t="str">
        <f>IF(CupDraw!K30="","",CupDraw!K30)</f>
        <v/>
      </c>
      <c r="E31" s="81" t="str">
        <f>IF(CupDraw!L30="","",CupDraw!L30)</f>
        <v/>
      </c>
      <c r="F31" s="58"/>
      <c r="G31" s="58"/>
      <c r="H31" s="84">
        <f>CupDraw!O30</f>
        <v>15</v>
      </c>
      <c r="I31" s="68" t="str">
        <f>IF(CupDraw!P30="","",CupDraw!P30)</f>
        <v>Simon Richardson</v>
      </c>
      <c r="J31" s="72">
        <f>IF(CupDraw!Q30="","",CupDraw!Q30)</f>
        <v>-1.6068376068376065</v>
      </c>
      <c r="K31" s="81" t="str">
        <f>IF(CupDraw!R30="","",CupDraw!R30)</f>
        <v/>
      </c>
      <c r="L31" s="78"/>
      <c r="M31" s="58"/>
      <c r="N31" s="60">
        <f>CupDraw!U30</f>
        <v>15</v>
      </c>
      <c r="O31" s="68" t="str">
        <f>CupDraw!V30</f>
        <v>Nick Blocksidge</v>
      </c>
      <c r="P31" s="72">
        <f>IF(CupDraw!W30="","",CupDraw!W30)</f>
        <v>-2.2857142857142865</v>
      </c>
      <c r="Q31" s="81" t="str">
        <f>IF(CupDraw!X30="","",CupDraw!X30)</f>
        <v/>
      </c>
      <c r="R31" s="78"/>
      <c r="S31" s="58"/>
      <c r="T31" s="76"/>
      <c r="U31" s="76"/>
      <c r="V31" s="76"/>
      <c r="W31" s="76"/>
      <c r="X31" s="80"/>
      <c r="Y31" s="76"/>
      <c r="Z31" s="76"/>
      <c r="AA31" s="76"/>
      <c r="AB31" s="76"/>
      <c r="AC31" s="76"/>
      <c r="AD31" s="76"/>
      <c r="AE31" s="76"/>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row>
    <row r="32" spans="2:58">
      <c r="B32" s="83"/>
      <c r="C32" s="71" t="str">
        <f>IF(CupDraw!J31="","",CupDraw!J31)</f>
        <v/>
      </c>
      <c r="D32" s="72" t="str">
        <f>IF(CupDraw!K31="","",CupDraw!K31)</f>
        <v/>
      </c>
      <c r="E32" s="122" t="str">
        <f>IF(CupDraw!L31="","",CupDraw!L31)</f>
        <v/>
      </c>
      <c r="F32" s="58"/>
      <c r="G32" s="58"/>
      <c r="H32" s="83"/>
      <c r="I32" s="68" t="str">
        <f>IF(CupDraw!P31="","",CupDraw!P31)</f>
        <v>Simon Kimble</v>
      </c>
      <c r="J32" s="72">
        <f>IF(CupDraw!Q31="","",CupDraw!Q31)</f>
        <v>2</v>
      </c>
      <c r="K32" s="61" t="str">
        <f>IF(CupDraw!R31="","",CupDraw!R31)</f>
        <v/>
      </c>
      <c r="L32" s="78"/>
      <c r="M32" s="58"/>
      <c r="N32" s="63"/>
      <c r="O32" s="68" t="str">
        <f>CupDraw!V31</f>
        <v>Alan Rogers</v>
      </c>
      <c r="P32" s="72">
        <f>IF(CupDraw!W31="","",CupDraw!W31)</f>
        <v>-3.6</v>
      </c>
      <c r="Q32" s="64" t="str">
        <f>IF(CupDraw!X31="","",CupDraw!X31)</f>
        <v/>
      </c>
      <c r="R32" s="78"/>
      <c r="S32" s="58"/>
      <c r="T32" s="76"/>
      <c r="U32" s="76"/>
      <c r="V32" s="76"/>
      <c r="W32" s="76"/>
      <c r="X32" s="80"/>
      <c r="Y32" s="76"/>
      <c r="Z32" s="76"/>
      <c r="AA32" s="76"/>
      <c r="AB32" s="76"/>
      <c r="AC32" s="76"/>
      <c r="AD32" s="76"/>
      <c r="AE32" s="76"/>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row>
    <row r="33" spans="2:58">
      <c r="B33" s="84">
        <f>CupDraw!I32</f>
        <v>16</v>
      </c>
      <c r="C33" s="71" t="str">
        <f>IF(CupDraw!J32="","",CupDraw!J32)</f>
        <v/>
      </c>
      <c r="D33" s="72" t="str">
        <f>IF(CupDraw!K32="","",CupDraw!K32)</f>
        <v/>
      </c>
      <c r="E33" s="81" t="str">
        <f>IF(CupDraw!L32="","",CupDraw!L32)</f>
        <v/>
      </c>
      <c r="F33" s="58"/>
      <c r="G33" s="58"/>
      <c r="H33" s="84">
        <f>CupDraw!O32</f>
        <v>16</v>
      </c>
      <c r="I33" s="68" t="str">
        <f>IF(CupDraw!P32="","",CupDraw!P32)</f>
        <v>Barry Birchall</v>
      </c>
      <c r="J33" s="72">
        <f>IF(CupDraw!Q32="","",CupDraw!Q32)</f>
        <v>-5.0909090909090908</v>
      </c>
      <c r="K33" s="81" t="str">
        <f>IF(CupDraw!R32="","",CupDraw!R32)</f>
        <v/>
      </c>
      <c r="L33" s="78"/>
      <c r="M33" s="58"/>
      <c r="N33" s="60">
        <f>CupDraw!U32</f>
        <v>16</v>
      </c>
      <c r="O33" s="68" t="str">
        <f>CupDraw!V32</f>
        <v>Paul Adderley</v>
      </c>
      <c r="P33" s="72">
        <f>IF(CupDraw!W32="","",CupDraw!W32)</f>
        <v>-2.5999999999999996</v>
      </c>
      <c r="Q33" s="81" t="str">
        <f>IF(CupDraw!X32="","",CupDraw!X32)</f>
        <v/>
      </c>
      <c r="R33" s="78"/>
      <c r="S33" s="58"/>
      <c r="T33" s="76"/>
      <c r="U33" s="76"/>
      <c r="V33" s="76"/>
      <c r="W33" s="76"/>
      <c r="X33" s="80"/>
      <c r="Y33" s="76"/>
      <c r="Z33" s="76"/>
      <c r="AA33" s="76"/>
      <c r="AB33" s="76"/>
      <c r="AC33" s="76"/>
      <c r="AD33" s="76"/>
      <c r="AE33" s="76"/>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row>
    <row r="34" spans="2:58">
      <c r="B34" s="83"/>
      <c r="C34" s="71" t="str">
        <f>IF(CupDraw!J33="","",CupDraw!J33)</f>
        <v/>
      </c>
      <c r="D34" s="72" t="str">
        <f>IF(CupDraw!K33="","",CupDraw!K33)</f>
        <v/>
      </c>
      <c r="E34" s="122" t="str">
        <f>IF(CupDraw!L33="","",CupDraw!L33)</f>
        <v/>
      </c>
      <c r="F34" s="58"/>
      <c r="G34" s="58"/>
      <c r="H34" s="83"/>
      <c r="I34" s="68" t="str">
        <f>IF(CupDraw!P33="","",CupDraw!P33)</f>
        <v>Howard Bradley</v>
      </c>
      <c r="J34" s="72">
        <f>IF(CupDraw!Q33="","",CupDraw!Q33)</f>
        <v>2</v>
      </c>
      <c r="K34" s="61" t="str">
        <f>IF(CupDraw!R33="","",CupDraw!R33)</f>
        <v/>
      </c>
      <c r="L34" s="78"/>
      <c r="M34" s="58"/>
      <c r="N34" s="67"/>
      <c r="O34" s="68" t="str">
        <f>CupDraw!V33</f>
        <v>Alick Rocca</v>
      </c>
      <c r="P34" s="72">
        <f>IF(CupDraw!W33="","",CupDraw!W33)</f>
        <v>-10</v>
      </c>
      <c r="Q34" s="61" t="str">
        <f>IF(CupDraw!X33="","",CupDraw!X33)</f>
        <v/>
      </c>
      <c r="R34" s="78"/>
      <c r="S34" s="58"/>
      <c r="T34" s="76"/>
      <c r="U34" s="76"/>
      <c r="V34" s="76"/>
      <c r="W34" s="76"/>
      <c r="X34" s="80"/>
      <c r="Y34" s="76"/>
      <c r="Z34" s="76"/>
      <c r="AA34" s="76"/>
      <c r="AB34" s="76"/>
      <c r="AC34" s="76"/>
      <c r="AD34" s="76"/>
      <c r="AE34" s="76"/>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row>
    <row r="35" spans="2:58">
      <c r="B35" s="84">
        <f>CupDraw!I34</f>
        <v>17</v>
      </c>
      <c r="C35" s="71" t="str">
        <f>IF(CupDraw!J34="","",CupDraw!J34)</f>
        <v/>
      </c>
      <c r="D35" s="72" t="str">
        <f>IF(CupDraw!K34="","",CupDraw!K34)</f>
        <v/>
      </c>
      <c r="E35" s="81" t="str">
        <f>IF(CupDraw!L34="","",CupDraw!L34)</f>
        <v/>
      </c>
      <c r="F35" s="58"/>
      <c r="G35" s="58"/>
      <c r="H35" s="84">
        <f>CupDraw!O34</f>
        <v>17</v>
      </c>
      <c r="I35" s="68" t="str">
        <f>IF(CupDraw!P34="","",CupDraw!P34)</f>
        <v>Jack Walsh</v>
      </c>
      <c r="J35" s="72">
        <f>IF(CupDraw!Q34="","",CupDraw!Q34)</f>
        <v>1.8909090909090907</v>
      </c>
      <c r="K35" s="81" t="str">
        <f>IF(CupDraw!R34="","",CupDraw!R34)</f>
        <v/>
      </c>
      <c r="L35" s="78"/>
      <c r="M35" s="58"/>
      <c r="N35" s="58"/>
      <c r="O35" s="58"/>
      <c r="P35" s="58"/>
      <c r="Q35" s="58" t="str">
        <f>IF(CupDraw!X34="","",CupDraw!X34)</f>
        <v/>
      </c>
      <c r="R35" s="79"/>
      <c r="S35" s="58"/>
      <c r="T35" s="76"/>
      <c r="U35" s="76"/>
      <c r="V35" s="76"/>
      <c r="W35" s="76"/>
      <c r="X35" s="80"/>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row>
    <row r="36" spans="2:58">
      <c r="B36" s="83"/>
      <c r="C36" s="71" t="str">
        <f>IF(CupDraw!J35="","",CupDraw!J35)</f>
        <v/>
      </c>
      <c r="D36" s="72" t="str">
        <f>IF(CupDraw!K35="","",CupDraw!K35)</f>
        <v/>
      </c>
      <c r="E36" s="122" t="str">
        <f>IF(CupDraw!L35="","",CupDraw!L35)</f>
        <v/>
      </c>
      <c r="F36" s="58"/>
      <c r="G36" s="58"/>
      <c r="H36" s="83"/>
      <c r="I36" s="68" t="str">
        <f>IF(CupDraw!P35="","",CupDraw!P35)</f>
        <v>Gerard Ventom</v>
      </c>
      <c r="J36" s="72">
        <f>IF(CupDraw!Q35="","",CupDraw!Q35)</f>
        <v>-4.8</v>
      </c>
      <c r="K36" s="61" t="str">
        <f>IF(CupDraw!R35="","",CupDraw!R35)</f>
        <v/>
      </c>
      <c r="L36" s="78"/>
      <c r="M36" s="58"/>
      <c r="N36" s="58"/>
      <c r="O36" s="58"/>
      <c r="P36" s="58"/>
      <c r="Q36" s="58" t="str">
        <f>IF(CupDraw!X35="","",CupDraw!X35)</f>
        <v/>
      </c>
      <c r="R36" s="79"/>
      <c r="S36" s="58"/>
      <c r="T36" s="76"/>
      <c r="U36" s="76"/>
      <c r="V36" s="76"/>
      <c r="W36" s="76"/>
      <c r="X36" s="80"/>
      <c r="Y36" s="76"/>
      <c r="Z36" s="76"/>
      <c r="AA36" s="76"/>
      <c r="AB36" s="76"/>
      <c r="AC36" s="76"/>
      <c r="AD36" s="76"/>
      <c r="AE36" s="76"/>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row>
    <row r="37" spans="2:58">
      <c r="B37" s="84">
        <f>CupDraw!I36</f>
        <v>18</v>
      </c>
      <c r="C37" s="71" t="str">
        <f>IF(CupDraw!J36="","",CupDraw!J36)</f>
        <v/>
      </c>
      <c r="D37" s="72" t="str">
        <f>IF(CupDraw!K36="","",CupDraw!K36)</f>
        <v/>
      </c>
      <c r="E37" s="81" t="str">
        <f>IF(CupDraw!L36="","",CupDraw!L36)</f>
        <v/>
      </c>
      <c r="F37" s="58"/>
      <c r="G37" s="58"/>
      <c r="H37" s="84">
        <f>CupDraw!O36</f>
        <v>18</v>
      </c>
      <c r="I37" s="68" t="str">
        <f>IF(CupDraw!P36="","",CupDraw!P36)</f>
        <v>Lennie Bow</v>
      </c>
      <c r="J37" s="72">
        <f>IF(CupDraw!Q36="","",CupDraw!Q36)</f>
        <v>0</v>
      </c>
      <c r="K37" s="81" t="str">
        <f>IF(CupDraw!R36="","",CupDraw!R36)</f>
        <v/>
      </c>
      <c r="L37" s="78"/>
      <c r="M37" s="58"/>
      <c r="N37" s="58"/>
      <c r="O37" s="58"/>
      <c r="P37" s="58"/>
      <c r="Q37" s="58" t="str">
        <f>IF(CupDraw!X36="","",CupDraw!X36)</f>
        <v/>
      </c>
      <c r="R37" s="79"/>
      <c r="S37" s="58"/>
      <c r="T37" s="76"/>
      <c r="U37" s="76"/>
      <c r="V37" s="76"/>
      <c r="W37" s="76"/>
      <c r="X37" s="80"/>
      <c r="Y37" s="76"/>
      <c r="Z37" s="76"/>
      <c r="AA37" s="76"/>
      <c r="AB37" s="76"/>
      <c r="AC37" s="76"/>
      <c r="AD37" s="76"/>
      <c r="AE37" s="76"/>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row>
    <row r="38" spans="2:58">
      <c r="B38" s="83"/>
      <c r="C38" s="71" t="str">
        <f>IF(CupDraw!J37="","",CupDraw!J37)</f>
        <v/>
      </c>
      <c r="D38" s="72" t="str">
        <f>IF(CupDraw!K37="","",CupDraw!K37)</f>
        <v/>
      </c>
      <c r="E38" s="122" t="str">
        <f>IF(CupDraw!L37="","",CupDraw!L37)</f>
        <v/>
      </c>
      <c r="F38" s="58"/>
      <c r="G38" s="58"/>
      <c r="H38" s="83"/>
      <c r="I38" s="68" t="str">
        <f>IF(CupDraw!P37="","",CupDraw!P37)</f>
        <v>Dave Bell</v>
      </c>
      <c r="J38" s="72">
        <f>IF(CupDraw!Q37="","",CupDraw!Q37)</f>
        <v>-7</v>
      </c>
      <c r="K38" s="61" t="str">
        <f>IF(CupDraw!R37="","",CupDraw!R37)</f>
        <v/>
      </c>
      <c r="L38" s="78"/>
      <c r="M38" s="58"/>
      <c r="N38" s="328" t="str">
        <f>CupDraw!U37</f>
        <v>Earlier drawn ties</v>
      </c>
      <c r="O38" s="103"/>
      <c r="P38" s="603"/>
      <c r="Q38" s="103"/>
      <c r="R38" s="79"/>
      <c r="S38" s="58"/>
      <c r="T38" s="76"/>
      <c r="U38" s="76"/>
      <c r="V38" s="76"/>
      <c r="W38" s="76"/>
      <c r="X38" s="80"/>
      <c r="Y38" s="76"/>
      <c r="Z38" s="76"/>
      <c r="AA38" s="76"/>
      <c r="AB38" s="76"/>
      <c r="AC38" s="76"/>
      <c r="AD38" s="76"/>
      <c r="AE38" s="76"/>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row>
    <row r="39" spans="2:58">
      <c r="B39" s="84">
        <f>CupDraw!I38</f>
        <v>19</v>
      </c>
      <c r="C39" s="71" t="str">
        <f>IF(CupDraw!J38="","",CupDraw!J38)</f>
        <v/>
      </c>
      <c r="D39" s="72" t="str">
        <f>IF(CupDraw!K38="","",CupDraw!K38)</f>
        <v/>
      </c>
      <c r="E39" s="81" t="str">
        <f>IF(CupDraw!L38="","",CupDraw!L38)</f>
        <v/>
      </c>
      <c r="F39" s="58"/>
      <c r="G39" s="58"/>
      <c r="H39" s="84">
        <f>CupDraw!O38</f>
        <v>19</v>
      </c>
      <c r="I39" s="68" t="str">
        <f>IF(CupDraw!P38="","",CupDraw!P38)</f>
        <v/>
      </c>
      <c r="J39" s="72" t="str">
        <f>IF(CupDraw!Q38="","",CupDraw!Q38)</f>
        <v/>
      </c>
      <c r="K39" s="81" t="str">
        <f>IF(CupDraw!R38="","",CupDraw!R38)</f>
        <v/>
      </c>
      <c r="L39" s="78"/>
      <c r="M39" s="58"/>
      <c r="N39" s="60"/>
      <c r="O39" s="70" t="str">
        <f>IF(CupDraw!V38="","",CupDraw!V38)</f>
        <v/>
      </c>
      <c r="P39" s="72" t="str">
        <f>IF(CupDraw!W38="","",CupDraw!W38)</f>
        <v/>
      </c>
      <c r="Q39" s="81" t="str">
        <f>IF(CupDraw!X38="","",CupDraw!X38)</f>
        <v/>
      </c>
      <c r="R39" s="78"/>
      <c r="S39" s="58"/>
      <c r="X39" s="80"/>
      <c r="Y39" s="76"/>
      <c r="Z39" s="76"/>
      <c r="AA39" s="76"/>
      <c r="AB39" s="76"/>
      <c r="AC39" s="76"/>
      <c r="AD39" s="76"/>
      <c r="AE39" s="76"/>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row>
    <row r="40" spans="2:58">
      <c r="B40" s="83"/>
      <c r="C40" s="71" t="str">
        <f>IF(CupDraw!J39="","",CupDraw!J39)</f>
        <v/>
      </c>
      <c r="D40" s="72" t="str">
        <f>IF(CupDraw!K39="","",CupDraw!K39)</f>
        <v/>
      </c>
      <c r="E40" s="122" t="str">
        <f>IF(CupDraw!L39="","",CupDraw!L39)</f>
        <v/>
      </c>
      <c r="F40" s="58"/>
      <c r="G40" s="58"/>
      <c r="H40" s="83"/>
      <c r="I40" s="68" t="str">
        <f>IF(CupDraw!P39="","",CupDraw!P39)</f>
        <v/>
      </c>
      <c r="J40" s="72" t="str">
        <f>IF(CupDraw!Q39="","",CupDraw!Q39)</f>
        <v/>
      </c>
      <c r="K40" s="61" t="str">
        <f>IF(CupDraw!R39="","",CupDraw!R39)</f>
        <v/>
      </c>
      <c r="L40" s="78"/>
      <c r="M40" s="58"/>
      <c r="N40" s="63"/>
      <c r="O40" s="70" t="str">
        <f>IF(CupDraw!V39="","",CupDraw!V39)</f>
        <v/>
      </c>
      <c r="P40" s="72" t="str">
        <f>IF(CupDraw!W39="","",CupDraw!W39)</f>
        <v/>
      </c>
      <c r="Q40" s="64" t="str">
        <f>IF(CupDraw!X39="","",CupDraw!X39)</f>
        <v/>
      </c>
      <c r="R40" s="78"/>
      <c r="S40" s="58"/>
      <c r="X40" s="78"/>
      <c r="Y40" s="76"/>
      <c r="Z40" s="76"/>
      <c r="AA40" s="76"/>
      <c r="AB40" s="76"/>
      <c r="AC40" s="76"/>
      <c r="AD40" s="76"/>
      <c r="AE40" s="76"/>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row>
    <row r="41" spans="2:58">
      <c r="B41" s="84">
        <f>CupDraw!I40</f>
        <v>20</v>
      </c>
      <c r="C41" s="71" t="str">
        <f>IF(CupDraw!J40="","",CupDraw!J40)</f>
        <v/>
      </c>
      <c r="D41" s="72" t="str">
        <f>IF(CupDraw!K40="","",CupDraw!K40)</f>
        <v/>
      </c>
      <c r="E41" s="81" t="str">
        <f>IF(CupDraw!L40="","",CupDraw!L40)</f>
        <v/>
      </c>
      <c r="F41" s="58"/>
      <c r="G41" s="58"/>
      <c r="H41" s="84">
        <f>CupDraw!O40</f>
        <v>20</v>
      </c>
      <c r="I41" s="68" t="str">
        <f>IF(CupDraw!P40="","",CupDraw!P40)</f>
        <v/>
      </c>
      <c r="J41" s="72" t="str">
        <f>IF(CupDraw!Q40="","",CupDraw!Q40)</f>
        <v/>
      </c>
      <c r="K41" s="81" t="str">
        <f>IF(CupDraw!R40="","",CupDraw!R40)</f>
        <v/>
      </c>
      <c r="L41" s="78"/>
      <c r="M41" s="58"/>
      <c r="N41" s="60"/>
      <c r="O41" s="62" t="str">
        <f>IF(CupDraw!V40="","",CupDraw!V40)</f>
        <v/>
      </c>
      <c r="P41" s="72" t="str">
        <f>IF(CupDraw!W40="","",CupDraw!W40)</f>
        <v/>
      </c>
      <c r="Q41" s="81" t="str">
        <f>IF(CupDraw!X40="","",CupDraw!X40)</f>
        <v/>
      </c>
      <c r="R41" s="78"/>
      <c r="S41" s="58"/>
      <c r="X41" s="78"/>
      <c r="Y41" s="76"/>
      <c r="Z41" s="76"/>
      <c r="AA41" s="76"/>
      <c r="AB41" s="76"/>
      <c r="AC41" s="76"/>
      <c r="AD41" s="76"/>
      <c r="AE41" s="76"/>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row>
    <row r="42" spans="2:58">
      <c r="B42" s="83"/>
      <c r="C42" s="71" t="str">
        <f>IF(CupDraw!J41="","",CupDraw!J41)</f>
        <v/>
      </c>
      <c r="D42" s="72" t="str">
        <f>IF(CupDraw!K41="","",CupDraw!K41)</f>
        <v/>
      </c>
      <c r="E42" s="122" t="str">
        <f>IF(CupDraw!L41="","",CupDraw!L41)</f>
        <v/>
      </c>
      <c r="F42" s="58"/>
      <c r="G42" s="58"/>
      <c r="H42" s="83"/>
      <c r="I42" s="68" t="str">
        <f>IF(CupDraw!P41="","",CupDraw!P41)</f>
        <v/>
      </c>
      <c r="J42" s="72" t="str">
        <f>IF(CupDraw!Q41="","",CupDraw!Q41)</f>
        <v/>
      </c>
      <c r="K42" s="61" t="str">
        <f>IF(CupDraw!R41="","",CupDraw!R41)</f>
        <v/>
      </c>
      <c r="L42" s="78"/>
      <c r="M42" s="58"/>
      <c r="N42" s="63"/>
      <c r="O42" s="62" t="str">
        <f>IF(CupDraw!V41="","",CupDraw!V41)</f>
        <v/>
      </c>
      <c r="P42" s="72" t="str">
        <f>IF(CupDraw!W41="","",CupDraw!W41)</f>
        <v/>
      </c>
      <c r="Q42" s="64" t="str">
        <f>IF(CupDraw!X41="","",CupDraw!X41)</f>
        <v/>
      </c>
      <c r="R42" s="78"/>
      <c r="S42" s="58"/>
      <c r="X42" s="78"/>
      <c r="Y42" s="76"/>
      <c r="Z42" s="76"/>
      <c r="AA42" s="76"/>
      <c r="AB42" s="76"/>
      <c r="AC42" s="76"/>
      <c r="AD42" s="76"/>
      <c r="AE42" s="76"/>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row>
    <row r="43" spans="2:58">
      <c r="B43" s="84">
        <f>CupDraw!I42</f>
        <v>21</v>
      </c>
      <c r="C43" s="71" t="str">
        <f>IF(CupDraw!J42="","",CupDraw!J42)</f>
        <v/>
      </c>
      <c r="D43" s="72" t="str">
        <f>IF(CupDraw!K42="","",CupDraw!K42)</f>
        <v/>
      </c>
      <c r="E43" s="81" t="str">
        <f>IF(CupDraw!L42="","",CupDraw!L42)</f>
        <v/>
      </c>
      <c r="F43" s="58"/>
      <c r="G43" s="58"/>
      <c r="H43" s="84">
        <f>CupDraw!O42</f>
        <v>21</v>
      </c>
      <c r="I43" s="68" t="str">
        <f>IF(CupDraw!P42="","",CupDraw!P42)</f>
        <v/>
      </c>
      <c r="J43" s="72" t="str">
        <f>IF(CupDraw!Q42="","",CupDraw!Q42)</f>
        <v/>
      </c>
      <c r="K43" s="81" t="str">
        <f>IF(CupDraw!R42="","",CupDraw!R42)</f>
        <v/>
      </c>
      <c r="L43" s="78"/>
      <c r="M43" s="58"/>
      <c r="N43" s="60"/>
      <c r="O43" s="62" t="str">
        <f>IF(CupDraw!V42="","",CupDraw!V42)</f>
        <v/>
      </c>
      <c r="P43" s="72" t="str">
        <f>IF(CupDraw!W42="","",CupDraw!W42)</f>
        <v/>
      </c>
      <c r="Q43" s="81" t="str">
        <f>IF(CupDraw!X42="","",CupDraw!X42)</f>
        <v/>
      </c>
      <c r="R43" s="78"/>
      <c r="S43" s="58"/>
      <c r="X43" s="78"/>
      <c r="Y43" s="76"/>
      <c r="Z43" s="76"/>
      <c r="AA43" s="76"/>
      <c r="AB43" s="76"/>
      <c r="AC43" s="76"/>
      <c r="AD43" s="76"/>
      <c r="AE43" s="76"/>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row>
    <row r="44" spans="2:58">
      <c r="B44" s="83"/>
      <c r="C44" s="71" t="str">
        <f>IF(CupDraw!J43="","",CupDraw!J43)</f>
        <v/>
      </c>
      <c r="D44" s="72" t="str">
        <f>IF(CupDraw!K43="","",CupDraw!K43)</f>
        <v/>
      </c>
      <c r="E44" s="122" t="str">
        <f>IF(CupDraw!L43="","",CupDraw!L43)</f>
        <v/>
      </c>
      <c r="F44" s="58"/>
      <c r="G44" s="58"/>
      <c r="H44" s="83"/>
      <c r="I44" s="68" t="str">
        <f>IF(CupDraw!P43="","",CupDraw!P43)</f>
        <v/>
      </c>
      <c r="J44" s="72" t="str">
        <f>IF(CupDraw!Q43="","",CupDraw!Q43)</f>
        <v/>
      </c>
      <c r="K44" s="61" t="str">
        <f>IF(CupDraw!R43="","",CupDraw!R43)</f>
        <v/>
      </c>
      <c r="L44" s="78"/>
      <c r="M44" s="58"/>
      <c r="N44" s="63"/>
      <c r="O44" s="62" t="str">
        <f>IF(CupDraw!V43="","",CupDraw!V43)</f>
        <v/>
      </c>
      <c r="P44" s="72" t="str">
        <f>IF(CupDraw!W43="","",CupDraw!W43)</f>
        <v/>
      </c>
      <c r="Q44" s="64" t="str">
        <f>IF(CupDraw!X43="","",CupDraw!X43)</f>
        <v/>
      </c>
      <c r="R44" s="78"/>
      <c r="S44" s="58"/>
      <c r="X44" s="78"/>
      <c r="Y44" s="76"/>
      <c r="Z44" s="76"/>
      <c r="AA44" s="76"/>
      <c r="AB44" s="76"/>
      <c r="AC44" s="76"/>
      <c r="AD44" s="76"/>
      <c r="AE44" s="76"/>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row>
    <row r="45" spans="2:58">
      <c r="B45" s="84">
        <f>CupDraw!I44</f>
        <v>22</v>
      </c>
      <c r="C45" s="71" t="str">
        <f>IF(CupDraw!J44="","",CupDraw!J44)</f>
        <v/>
      </c>
      <c r="D45" s="72" t="str">
        <f>IF(CupDraw!K44="","",CupDraw!K44)</f>
        <v/>
      </c>
      <c r="E45" s="81" t="str">
        <f>IF(CupDraw!L44="","",CupDraw!L44)</f>
        <v/>
      </c>
      <c r="F45" s="58"/>
      <c r="G45" s="58"/>
      <c r="H45" s="84">
        <f>CupDraw!O44</f>
        <v>22</v>
      </c>
      <c r="I45" s="68" t="str">
        <f>IF(CupDraw!P44="","",CupDraw!P44)</f>
        <v/>
      </c>
      <c r="J45" s="72" t="str">
        <f>IF(CupDraw!Q44="","",CupDraw!Q44)</f>
        <v/>
      </c>
      <c r="K45" s="81" t="str">
        <f>IF(CupDraw!R44="","",CupDraw!R44)</f>
        <v/>
      </c>
      <c r="L45" s="78"/>
      <c r="M45" s="58"/>
      <c r="N45" s="60"/>
      <c r="O45" s="62" t="str">
        <f>IF(CupDraw!V44="","",CupDraw!V44)</f>
        <v/>
      </c>
      <c r="P45" s="72" t="str">
        <f>IF(CupDraw!W44="","",CupDraw!W44)</f>
        <v/>
      </c>
      <c r="Q45" s="73" t="str">
        <f>IF(CupDraw!X44="","",CupDraw!X44)</f>
        <v/>
      </c>
      <c r="R45" s="78"/>
      <c r="S45" s="58"/>
      <c r="X45" s="78"/>
      <c r="Y45" s="76"/>
      <c r="Z45" s="76"/>
      <c r="AA45" s="76"/>
      <c r="AB45" s="76"/>
      <c r="AC45" s="76"/>
      <c r="AD45" s="76"/>
      <c r="AE45" s="76"/>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row>
    <row r="46" spans="2:58">
      <c r="B46" s="83"/>
      <c r="C46" s="71" t="str">
        <f>IF(CupDraw!J45="","",CupDraw!J45)</f>
        <v/>
      </c>
      <c r="D46" s="72" t="str">
        <f>IF(CupDraw!K45="","",CupDraw!K45)</f>
        <v/>
      </c>
      <c r="E46" s="122" t="str">
        <f>IF(CupDraw!L45="","",CupDraw!L45)</f>
        <v/>
      </c>
      <c r="F46" s="58"/>
      <c r="G46" s="58"/>
      <c r="H46" s="83"/>
      <c r="I46" s="68" t="str">
        <f>IF(CupDraw!P45="","",CupDraw!P45)</f>
        <v/>
      </c>
      <c r="J46" s="72" t="str">
        <f>IF(CupDraw!Q45="","",CupDraw!Q45)</f>
        <v/>
      </c>
      <c r="K46" s="61" t="str">
        <f>IF(CupDraw!R45="","",CupDraw!R45)</f>
        <v/>
      </c>
      <c r="L46" s="78"/>
      <c r="M46" s="58"/>
      <c r="N46" s="67"/>
      <c r="O46" s="62" t="str">
        <f>IF(CupDraw!V45="","",CupDraw!V45)</f>
        <v/>
      </c>
      <c r="P46" s="72" t="str">
        <f>IF(CupDraw!W45="","",CupDraw!W45)</f>
        <v/>
      </c>
      <c r="Q46" s="61" t="str">
        <f>IF(CupDraw!X45="","",CupDraw!X45)</f>
        <v/>
      </c>
      <c r="R46" s="78"/>
      <c r="S46" s="58"/>
      <c r="X46" s="78"/>
      <c r="Y46" s="76"/>
      <c r="Z46" s="76"/>
      <c r="AA46" s="76"/>
      <c r="AB46" s="76"/>
      <c r="AC46" s="76"/>
      <c r="AD46" s="76"/>
      <c r="AE46" s="76"/>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row>
    <row r="47" spans="2:58">
      <c r="B47" s="84">
        <f>CupDraw!I46</f>
        <v>23</v>
      </c>
      <c r="C47" s="71" t="str">
        <f>IF(CupDraw!J46="","",CupDraw!J46)</f>
        <v/>
      </c>
      <c r="D47" s="72" t="str">
        <f>IF(CupDraw!K46="","",CupDraw!K46)</f>
        <v/>
      </c>
      <c r="E47" s="81" t="str">
        <f>IF(CupDraw!L46="","",CupDraw!L46)</f>
        <v/>
      </c>
      <c r="F47" s="58"/>
      <c r="G47" s="58"/>
      <c r="H47" s="84">
        <f>CupDraw!O46</f>
        <v>23</v>
      </c>
      <c r="I47" s="68" t="str">
        <f>IF(CupDraw!P46="","",CupDraw!P46)</f>
        <v/>
      </c>
      <c r="J47" s="72" t="str">
        <f>IF(CupDraw!Q46="","",CupDraw!Q46)</f>
        <v/>
      </c>
      <c r="K47" s="81" t="str">
        <f>IF(CupDraw!R46="","",CupDraw!R46)</f>
        <v/>
      </c>
      <c r="L47" s="78"/>
      <c r="M47" s="58"/>
      <c r="N47" s="60"/>
      <c r="O47" s="62" t="str">
        <f>IF(CupDraw!V46="","",CupDraw!V46)</f>
        <v/>
      </c>
      <c r="P47" s="72" t="str">
        <f>IF(CupDraw!W46="","",CupDraw!W46)</f>
        <v/>
      </c>
      <c r="Q47" s="73" t="str">
        <f>IF(CupDraw!X46="","",CupDraw!X46)</f>
        <v/>
      </c>
      <c r="R47" s="79"/>
      <c r="S47" s="58"/>
      <c r="X47" s="78"/>
      <c r="Y47" s="76"/>
      <c r="Z47" s="76"/>
      <c r="AA47" s="76"/>
      <c r="AB47" s="76"/>
      <c r="AC47" s="76"/>
      <c r="AD47" s="76"/>
      <c r="AE47" s="76"/>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row>
    <row r="48" spans="2:58">
      <c r="B48" s="83"/>
      <c r="C48" s="71" t="str">
        <f>IF(CupDraw!J47="","",CupDraw!J47)</f>
        <v/>
      </c>
      <c r="D48" s="72" t="str">
        <f>IF(CupDraw!K47="","",CupDraw!K47)</f>
        <v/>
      </c>
      <c r="E48" s="122" t="str">
        <f>IF(CupDraw!L47="","",CupDraw!L47)</f>
        <v/>
      </c>
      <c r="F48" s="58"/>
      <c r="G48" s="58"/>
      <c r="H48" s="83"/>
      <c r="I48" s="68" t="str">
        <f>IF(CupDraw!P47="","",CupDraw!P47)</f>
        <v/>
      </c>
      <c r="J48" s="72" t="str">
        <f>IF(CupDraw!Q47="","",CupDraw!Q47)</f>
        <v/>
      </c>
      <c r="K48" s="61" t="str">
        <f>IF(CupDraw!R47="","",CupDraw!R47)</f>
        <v/>
      </c>
      <c r="L48" s="78"/>
      <c r="M48" s="58"/>
      <c r="N48" s="67"/>
      <c r="O48" s="62" t="str">
        <f>IF(CupDraw!V47="","",CupDraw!V47)</f>
        <v/>
      </c>
      <c r="P48" s="72" t="str">
        <f>IF(CupDraw!W47="","",CupDraw!W47)</f>
        <v/>
      </c>
      <c r="Q48" s="61" t="str">
        <f>IF(CupDraw!X47="","",CupDraw!X47)</f>
        <v/>
      </c>
      <c r="R48" s="79"/>
      <c r="S48" s="58"/>
      <c r="X48" s="80"/>
      <c r="Y48" s="76"/>
      <c r="Z48" s="76"/>
      <c r="AA48" s="76"/>
      <c r="AB48" s="76"/>
      <c r="AC48" s="76"/>
      <c r="AD48" s="76"/>
      <c r="AE48" s="76"/>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row>
    <row r="49" spans="2:58">
      <c r="B49" s="84">
        <f>CupDraw!I48</f>
        <v>24</v>
      </c>
      <c r="C49" s="71" t="str">
        <f>IF(CupDraw!J48="","",CupDraw!J48)</f>
        <v/>
      </c>
      <c r="D49" s="72" t="str">
        <f>IF(CupDraw!K48="","",CupDraw!K48)</f>
        <v/>
      </c>
      <c r="E49" s="81" t="str">
        <f>IF(CupDraw!L48="","",CupDraw!L48)</f>
        <v/>
      </c>
      <c r="F49" s="58"/>
      <c r="G49" s="58"/>
      <c r="H49" s="84">
        <f>CupDraw!O48</f>
        <v>24</v>
      </c>
      <c r="I49" s="68" t="str">
        <f>IF(CupDraw!P48="","",CupDraw!P48)</f>
        <v/>
      </c>
      <c r="J49" s="72" t="str">
        <f>IF(CupDraw!Q48="","",CupDraw!Q48)</f>
        <v/>
      </c>
      <c r="K49" s="81" t="str">
        <f>IF(CupDraw!R48="","",CupDraw!R48)</f>
        <v/>
      </c>
      <c r="L49" s="78"/>
      <c r="M49" s="58"/>
      <c r="N49" s="58"/>
      <c r="O49" s="58"/>
      <c r="P49" s="58"/>
      <c r="Q49" s="58"/>
      <c r="R49" s="79"/>
      <c r="S49" s="58"/>
      <c r="X49" s="80"/>
      <c r="Y49" s="76"/>
      <c r="Z49" s="76"/>
      <c r="AA49" s="76"/>
      <c r="AB49" s="76"/>
      <c r="AC49" s="76"/>
      <c r="AD49" s="76"/>
      <c r="AE49" s="76"/>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row>
    <row r="50" spans="2:58">
      <c r="B50" s="83"/>
      <c r="C50" s="71" t="str">
        <f>IF(CupDraw!J49="","",CupDraw!J49)</f>
        <v/>
      </c>
      <c r="D50" s="72" t="str">
        <f>IF(CupDraw!K49="","",CupDraw!K49)</f>
        <v/>
      </c>
      <c r="E50" s="122" t="str">
        <f>IF(CupDraw!L49="","",CupDraw!L49)</f>
        <v/>
      </c>
      <c r="F50" s="58"/>
      <c r="G50" s="58"/>
      <c r="H50" s="83"/>
      <c r="I50" s="68" t="str">
        <f>IF(CupDraw!P49="","",CupDraw!P49)</f>
        <v/>
      </c>
      <c r="J50" s="72" t="str">
        <f>IF(CupDraw!Q49="","",CupDraw!Q49)</f>
        <v/>
      </c>
      <c r="K50" s="61" t="str">
        <f>IF(CupDraw!R49="","",CupDraw!R49)</f>
        <v/>
      </c>
      <c r="L50" s="78"/>
      <c r="M50" s="58"/>
      <c r="N50" s="58"/>
      <c r="O50" s="58"/>
      <c r="P50" s="58"/>
      <c r="Q50" s="58"/>
      <c r="R50" s="79"/>
      <c r="S50" s="58"/>
      <c r="X50" s="80"/>
      <c r="Y50" s="76"/>
      <c r="Z50" s="76"/>
      <c r="AA50" s="76"/>
      <c r="AB50" s="76"/>
      <c r="AC50" s="76"/>
      <c r="AD50" s="76"/>
      <c r="AE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row>
    <row r="51" spans="2:58">
      <c r="B51" s="84">
        <f>CupDraw!I50</f>
        <v>25</v>
      </c>
      <c r="C51" s="71" t="str">
        <f>IF(CupDraw!J50="","",CupDraw!J50)</f>
        <v/>
      </c>
      <c r="D51" s="72" t="str">
        <f>IF(CupDraw!K50="","",CupDraw!K50)</f>
        <v/>
      </c>
      <c r="E51" s="81" t="str">
        <f>IF(CupDraw!L50="","",CupDraw!L50)</f>
        <v/>
      </c>
      <c r="F51" s="58"/>
      <c r="G51" s="58"/>
      <c r="H51" s="84">
        <f>CupDraw!O50</f>
        <v>25</v>
      </c>
      <c r="I51" s="68" t="str">
        <f>IF(CupDraw!P50="","",CupDraw!P50)</f>
        <v/>
      </c>
      <c r="J51" s="72" t="str">
        <f>IF(CupDraw!Q50="","",CupDraw!Q50)</f>
        <v/>
      </c>
      <c r="K51" s="81" t="str">
        <f>IF(CupDraw!R50="","",CupDraw!R50)</f>
        <v/>
      </c>
      <c r="L51" s="78"/>
      <c r="M51" s="76"/>
      <c r="N51" s="76"/>
      <c r="O51" s="76"/>
      <c r="P51" s="76"/>
      <c r="Q51" s="76"/>
      <c r="R51" s="79"/>
      <c r="S51" s="76"/>
      <c r="X51" s="1"/>
      <c r="Y51" s="76"/>
      <c r="Z51" s="76"/>
      <c r="AA51" s="76"/>
      <c r="AB51" s="76"/>
      <c r="AC51" s="76"/>
      <c r="AD51" s="76"/>
      <c r="AE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row>
    <row r="52" spans="2:58">
      <c r="B52" s="83"/>
      <c r="C52" s="71" t="str">
        <f>IF(CupDraw!J51="","",CupDraw!J51)</f>
        <v/>
      </c>
      <c r="D52" s="72" t="str">
        <f>IF(CupDraw!K51="","",CupDraw!K51)</f>
        <v/>
      </c>
      <c r="E52" s="122" t="str">
        <f>IF(CupDraw!L51="","",CupDraw!L51)</f>
        <v/>
      </c>
      <c r="F52" s="58"/>
      <c r="G52" s="58"/>
      <c r="H52" s="83"/>
      <c r="I52" s="68" t="str">
        <f>IF(CupDraw!P51="","",CupDraw!P51)</f>
        <v/>
      </c>
      <c r="J52" s="72" t="str">
        <f>IF(CupDraw!Q51="","",CupDraw!Q51)</f>
        <v/>
      </c>
      <c r="K52" s="61" t="str">
        <f>IF(CupDraw!R51="","",CupDraw!R51)</f>
        <v/>
      </c>
      <c r="L52" s="78"/>
      <c r="M52" s="76"/>
      <c r="N52" s="76"/>
      <c r="O52" s="76"/>
      <c r="P52" s="76"/>
      <c r="Q52" s="76"/>
      <c r="R52" s="79"/>
      <c r="S52" s="76"/>
      <c r="X52" s="80"/>
      <c r="Y52" s="76"/>
      <c r="Z52" s="76"/>
      <c r="AA52" s="76"/>
      <c r="AB52" s="76"/>
      <c r="AC52" s="76"/>
      <c r="AD52" s="76"/>
      <c r="AE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row>
    <row r="53" spans="2:58">
      <c r="B53" s="84">
        <f>CupDraw!I52</f>
        <v>26</v>
      </c>
      <c r="C53" s="71" t="str">
        <f>IF(CupDraw!J52="","",CupDraw!J52)</f>
        <v/>
      </c>
      <c r="D53" s="72" t="str">
        <f>IF(CupDraw!K52="","",CupDraw!K52)</f>
        <v/>
      </c>
      <c r="E53" s="81" t="str">
        <f>IF(CupDraw!L52="","",CupDraw!L52)</f>
        <v/>
      </c>
      <c r="F53" s="58"/>
      <c r="G53" s="58"/>
      <c r="H53" s="84">
        <f>CupDraw!O52</f>
        <v>26</v>
      </c>
      <c r="I53" s="68" t="str">
        <f>IF(CupDraw!P52="","",CupDraw!P52)</f>
        <v/>
      </c>
      <c r="J53" s="72" t="str">
        <f>IF(CupDraw!Q52="","",CupDraw!Q52)</f>
        <v/>
      </c>
      <c r="K53" s="81" t="str">
        <f>IF(CupDraw!R52="","",CupDraw!R52)</f>
        <v/>
      </c>
      <c r="L53" s="78"/>
      <c r="M53" s="76"/>
      <c r="N53" s="76"/>
      <c r="O53" s="76"/>
      <c r="P53" s="76"/>
      <c r="Q53" s="76"/>
      <c r="R53" s="79"/>
      <c r="S53" s="76"/>
      <c r="X53" s="80"/>
      <c r="Y53" s="76"/>
      <c r="Z53" s="76"/>
      <c r="AA53" s="76"/>
      <c r="AB53" s="76"/>
      <c r="AC53" s="76"/>
      <c r="AD53" s="76"/>
      <c r="AE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row>
    <row r="54" spans="2:58">
      <c r="B54" s="83"/>
      <c r="C54" s="71" t="str">
        <f>IF(CupDraw!J53="","",CupDraw!J53)</f>
        <v/>
      </c>
      <c r="D54" s="72" t="str">
        <f>IF(CupDraw!K53="","",CupDraw!K53)</f>
        <v/>
      </c>
      <c r="E54" s="122" t="str">
        <f>IF(CupDraw!L53="","",CupDraw!L53)</f>
        <v/>
      </c>
      <c r="F54" s="58"/>
      <c r="G54" s="58"/>
      <c r="H54" s="83"/>
      <c r="I54" s="68" t="str">
        <f>IF(CupDraw!P53="","",CupDraw!P53)</f>
        <v/>
      </c>
      <c r="J54" s="72" t="str">
        <f>IF(CupDraw!Q53="","",CupDraw!Q53)</f>
        <v/>
      </c>
      <c r="K54" s="61" t="str">
        <f>IF(CupDraw!R53="","",CupDraw!R53)</f>
        <v/>
      </c>
      <c r="L54" s="78"/>
      <c r="M54" s="76"/>
      <c r="N54" s="76"/>
      <c r="O54" s="76"/>
      <c r="P54" s="76"/>
      <c r="Q54" s="76"/>
      <c r="R54" s="79"/>
      <c r="S54" s="76"/>
      <c r="X54" s="80"/>
      <c r="Y54" s="76"/>
      <c r="Z54" s="76"/>
      <c r="AA54" s="76"/>
      <c r="AB54" s="76"/>
      <c r="AC54" s="76"/>
      <c r="AD54" s="76"/>
      <c r="AE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row>
    <row r="55" spans="2:58">
      <c r="B55" s="84">
        <f>CupDraw!I54</f>
        <v>27</v>
      </c>
      <c r="C55" s="71" t="str">
        <f>IF(CupDraw!J54="","",CupDraw!J54)</f>
        <v/>
      </c>
      <c r="D55" s="72" t="str">
        <f>IF(CupDraw!K54="","",CupDraw!K54)</f>
        <v/>
      </c>
      <c r="E55" s="81" t="str">
        <f>IF(CupDraw!L54="","",CupDraw!L54)</f>
        <v/>
      </c>
      <c r="F55" s="58"/>
      <c r="G55" s="58"/>
      <c r="H55" s="84">
        <f>CupDraw!O54</f>
        <v>27</v>
      </c>
      <c r="I55" s="68" t="str">
        <f>IF(CupDraw!P54="","",CupDraw!P54)</f>
        <v/>
      </c>
      <c r="J55" s="72" t="str">
        <f>IF(CupDraw!Q54="","",CupDraw!Q54)</f>
        <v/>
      </c>
      <c r="K55" s="81" t="str">
        <f>IF(CupDraw!R54="","",CupDraw!R54)</f>
        <v/>
      </c>
      <c r="L55" s="78"/>
      <c r="M55" s="76"/>
      <c r="N55" s="76"/>
      <c r="O55" s="76"/>
      <c r="P55" s="76"/>
      <c r="Q55" s="76"/>
      <c r="R55" s="79"/>
      <c r="S55" s="76"/>
      <c r="X55" s="80"/>
      <c r="Y55" s="76"/>
      <c r="Z55" s="76"/>
      <c r="AA55" s="76"/>
      <c r="AB55" s="76"/>
      <c r="AC55" s="76"/>
      <c r="AD55" s="76"/>
      <c r="AE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row>
    <row r="56" spans="2:58">
      <c r="B56" s="83"/>
      <c r="C56" s="71" t="str">
        <f>IF(CupDraw!J55="","",CupDraw!J55)</f>
        <v/>
      </c>
      <c r="D56" s="72" t="str">
        <f>IF(CupDraw!K55="","",CupDraw!K55)</f>
        <v/>
      </c>
      <c r="E56" s="122" t="str">
        <f>IF(CupDraw!L55="","",CupDraw!L55)</f>
        <v/>
      </c>
      <c r="F56" s="58"/>
      <c r="G56" s="58"/>
      <c r="H56" s="83"/>
      <c r="I56" s="68" t="str">
        <f>IF(CupDraw!P55="","",CupDraw!P55)</f>
        <v/>
      </c>
      <c r="J56" s="72" t="str">
        <f>IF(CupDraw!Q55="","",CupDraw!Q55)</f>
        <v/>
      </c>
      <c r="K56" s="61" t="str">
        <f>IF(CupDraw!R55="","",CupDraw!R55)</f>
        <v/>
      </c>
      <c r="L56" s="78"/>
      <c r="M56" s="76"/>
      <c r="N56" s="76"/>
      <c r="O56" s="76"/>
      <c r="P56" s="76"/>
      <c r="Q56" s="76"/>
      <c r="R56" s="79"/>
      <c r="S56" s="76"/>
      <c r="X56" s="80"/>
      <c r="Y56" s="76"/>
      <c r="Z56" s="76"/>
      <c r="AA56" s="76"/>
      <c r="AB56" s="76"/>
      <c r="AC56" s="76"/>
      <c r="AD56" s="76"/>
      <c r="AE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row>
    <row r="57" spans="2:58">
      <c r="B57" s="84">
        <f>CupDraw!I56</f>
        <v>28</v>
      </c>
      <c r="C57" s="71" t="str">
        <f>IF(CupDraw!J56="","",CupDraw!J56)</f>
        <v/>
      </c>
      <c r="D57" s="72" t="str">
        <f>IF(CupDraw!K56="","",CupDraw!K56)</f>
        <v/>
      </c>
      <c r="E57" s="81" t="str">
        <f>IF(CupDraw!L56="","",CupDraw!L56)</f>
        <v/>
      </c>
      <c r="F57" s="58"/>
      <c r="G57" s="58"/>
      <c r="H57" s="84">
        <f>CupDraw!O56</f>
        <v>28</v>
      </c>
      <c r="I57" s="68" t="str">
        <f>IF(CupDraw!P56="","",CupDraw!P56)</f>
        <v/>
      </c>
      <c r="J57" s="72" t="str">
        <f>IF(CupDraw!Q56="","",CupDraw!Q56)</f>
        <v/>
      </c>
      <c r="K57" s="81" t="str">
        <f>IF(CupDraw!R56="","",CupDraw!R56)</f>
        <v/>
      </c>
      <c r="L57" s="78"/>
      <c r="M57" s="76"/>
      <c r="N57" s="76"/>
      <c r="O57" s="76"/>
      <c r="P57" s="76"/>
      <c r="Q57" s="76"/>
      <c r="R57" s="79"/>
      <c r="S57" s="76"/>
      <c r="X57" s="80"/>
      <c r="Y57" s="76"/>
      <c r="Z57" s="76"/>
      <c r="AA57" s="76"/>
      <c r="AB57" s="76"/>
      <c r="AC57" s="76"/>
      <c r="AD57" s="76"/>
      <c r="AE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row>
    <row r="58" spans="2:58">
      <c r="B58" s="83"/>
      <c r="C58" s="71" t="str">
        <f>IF(CupDraw!J57="","",CupDraw!J57)</f>
        <v/>
      </c>
      <c r="D58" s="72" t="str">
        <f>IF(CupDraw!K57="","",CupDraw!K57)</f>
        <v/>
      </c>
      <c r="E58" s="122" t="str">
        <f>IF(CupDraw!L57="","",CupDraw!L57)</f>
        <v/>
      </c>
      <c r="F58" s="58"/>
      <c r="G58" s="58"/>
      <c r="H58" s="83"/>
      <c r="I58" s="68" t="str">
        <f>IF(CupDraw!P57="","",CupDraw!P57)</f>
        <v/>
      </c>
      <c r="J58" s="72" t="str">
        <f>IF(CupDraw!Q57="","",CupDraw!Q57)</f>
        <v/>
      </c>
      <c r="K58" s="61" t="str">
        <f>IF(CupDraw!R57="","",CupDraw!R57)</f>
        <v/>
      </c>
      <c r="L58" s="78"/>
      <c r="M58" s="76"/>
      <c r="N58" s="76"/>
      <c r="O58" s="76"/>
      <c r="P58" s="76"/>
      <c r="Q58" s="76"/>
      <c r="R58" s="79"/>
      <c r="S58" s="76"/>
      <c r="X58" s="80"/>
      <c r="Y58" s="76"/>
      <c r="Z58" s="76"/>
      <c r="AA58" s="76"/>
      <c r="AB58" s="76"/>
      <c r="AC58" s="76"/>
      <c r="AD58" s="76"/>
      <c r="AE58" s="76"/>
      <c r="AF58" s="76"/>
      <c r="AG58" s="76"/>
      <c r="AH58" s="76"/>
      <c r="AI58" s="76"/>
      <c r="AJ58" s="76"/>
      <c r="AK58" s="76"/>
      <c r="AL58" s="76"/>
      <c r="AM58" s="76"/>
      <c r="AN58" s="76"/>
      <c r="AO58" s="76"/>
      <c r="AP58" s="76"/>
      <c r="AQ58" s="76"/>
      <c r="AR58" s="76"/>
      <c r="AS58" s="76"/>
      <c r="AT58" s="76"/>
      <c r="AU58" s="76"/>
      <c r="AV58" s="76"/>
      <c r="AW58" s="76"/>
      <c r="AX58" s="76"/>
      <c r="AY58" s="76"/>
      <c r="AZ58" s="76"/>
      <c r="BA58" s="76"/>
      <c r="BB58" s="76"/>
      <c r="BC58" s="76"/>
      <c r="BD58" s="76"/>
      <c r="BE58" s="76"/>
      <c r="BF58" s="76"/>
    </row>
    <row r="59" spans="2:58">
      <c r="B59" s="84">
        <f>CupDraw!I58</f>
        <v>29</v>
      </c>
      <c r="C59" s="71" t="str">
        <f>IF(CupDraw!J58="","",CupDraw!J58)</f>
        <v/>
      </c>
      <c r="D59" s="72" t="str">
        <f>IF(CupDraw!K58="","",CupDraw!K58)</f>
        <v/>
      </c>
      <c r="E59" s="81" t="str">
        <f>IF(CupDraw!L58="","",CupDraw!L58)</f>
        <v/>
      </c>
      <c r="F59" s="58"/>
      <c r="G59" s="58"/>
      <c r="H59" s="84">
        <f>CupDraw!O58</f>
        <v>29</v>
      </c>
      <c r="I59" s="68" t="str">
        <f>IF(CupDraw!P58="","",CupDraw!P58)</f>
        <v/>
      </c>
      <c r="J59" s="72" t="str">
        <f>IF(CupDraw!Q58="","",CupDraw!Q58)</f>
        <v/>
      </c>
      <c r="K59" s="81" t="str">
        <f>IF(CupDraw!R58="","",CupDraw!R58)</f>
        <v/>
      </c>
      <c r="L59" s="78"/>
      <c r="M59" s="76"/>
      <c r="N59" s="76"/>
      <c r="O59" s="76"/>
      <c r="P59" s="76"/>
      <c r="Q59" s="76"/>
      <c r="R59" s="79"/>
      <c r="S59" s="76"/>
      <c r="T59" s="58"/>
      <c r="U59" s="58"/>
      <c r="V59" s="58"/>
      <c r="W59" s="58"/>
      <c r="X59" s="80"/>
      <c r="Y59" s="76"/>
      <c r="Z59" s="76"/>
      <c r="AA59" s="76"/>
      <c r="AB59" s="76"/>
      <c r="AC59" s="76"/>
      <c r="AD59" s="76"/>
      <c r="AE59" s="76"/>
      <c r="AF59" s="76"/>
      <c r="AG59" s="76"/>
      <c r="AH59" s="76"/>
      <c r="AI59" s="76"/>
      <c r="AJ59" s="76"/>
      <c r="AK59" s="76"/>
      <c r="AL59" s="76"/>
      <c r="AM59" s="76"/>
      <c r="AN59" s="76"/>
      <c r="AO59" s="76"/>
      <c r="AP59" s="76"/>
      <c r="AQ59" s="76"/>
      <c r="AR59" s="76"/>
      <c r="AS59" s="76"/>
      <c r="AT59" s="76"/>
      <c r="AU59" s="76"/>
      <c r="AV59" s="76"/>
      <c r="AW59" s="76"/>
      <c r="AX59" s="76"/>
      <c r="AY59" s="76"/>
      <c r="AZ59" s="76"/>
      <c r="BA59" s="76"/>
      <c r="BB59" s="76"/>
      <c r="BC59" s="76"/>
      <c r="BD59" s="76"/>
      <c r="BE59" s="76"/>
      <c r="BF59" s="76"/>
    </row>
    <row r="60" spans="2:58">
      <c r="B60" s="83"/>
      <c r="C60" s="71" t="str">
        <f>IF(CupDraw!J59="","",CupDraw!J59)</f>
        <v/>
      </c>
      <c r="D60" s="72" t="str">
        <f>IF(CupDraw!K59="","",CupDraw!K59)</f>
        <v/>
      </c>
      <c r="E60" s="122" t="str">
        <f>IF(CupDraw!L59="","",CupDraw!L59)</f>
        <v/>
      </c>
      <c r="F60" s="58"/>
      <c r="G60" s="58"/>
      <c r="H60" s="83"/>
      <c r="I60" s="68" t="str">
        <f>IF(CupDraw!P59="","",CupDraw!P59)</f>
        <v/>
      </c>
      <c r="J60" s="72" t="str">
        <f>IF(CupDraw!Q59="","",CupDraw!Q59)</f>
        <v/>
      </c>
      <c r="K60" s="61" t="str">
        <f>IF(CupDraw!R59="","",CupDraw!R59)</f>
        <v/>
      </c>
      <c r="L60" s="78"/>
      <c r="M60" s="76"/>
      <c r="N60" s="76"/>
      <c r="O60" s="76"/>
      <c r="P60" s="76"/>
      <c r="Q60" s="76"/>
      <c r="R60" s="79"/>
      <c r="S60" s="76"/>
      <c r="T60" s="58"/>
      <c r="U60" s="58"/>
      <c r="V60" s="58"/>
      <c r="W60" s="58"/>
      <c r="X60" s="80"/>
      <c r="Y60" s="76"/>
      <c r="Z60" s="76"/>
      <c r="AA60" s="76"/>
      <c r="AB60" s="76"/>
      <c r="AC60" s="76"/>
      <c r="AD60" s="76"/>
      <c r="AE60" s="76"/>
      <c r="AF60" s="76"/>
      <c r="AG60" s="76"/>
      <c r="AH60" s="76"/>
      <c r="AI60" s="76"/>
      <c r="AJ60" s="76"/>
      <c r="AK60" s="76"/>
      <c r="AL60" s="76"/>
      <c r="AM60" s="76"/>
      <c r="AN60" s="76"/>
      <c r="AO60" s="76"/>
      <c r="AP60" s="76"/>
      <c r="AQ60" s="76"/>
      <c r="AR60" s="76"/>
      <c r="AS60" s="76"/>
      <c r="AT60" s="76"/>
      <c r="AU60" s="76"/>
      <c r="AV60" s="76"/>
      <c r="AW60" s="76"/>
      <c r="AX60" s="76"/>
      <c r="AY60" s="76"/>
      <c r="AZ60" s="76"/>
      <c r="BA60" s="76"/>
      <c r="BB60" s="76"/>
      <c r="BC60" s="76"/>
      <c r="BD60" s="76"/>
      <c r="BE60" s="76"/>
      <c r="BF60" s="76"/>
    </row>
    <row r="61" spans="2:58">
      <c r="B61" s="84">
        <f>CupDraw!I60</f>
        <v>30</v>
      </c>
      <c r="C61" s="71" t="str">
        <f>IF(CupDraw!J60="","",CupDraw!J60)</f>
        <v/>
      </c>
      <c r="D61" s="72" t="str">
        <f>IF(CupDraw!K60="","",CupDraw!K60)</f>
        <v/>
      </c>
      <c r="E61" s="81" t="str">
        <f>IF(CupDraw!L60="","",CupDraw!L60)</f>
        <v/>
      </c>
      <c r="F61" s="58"/>
      <c r="G61" s="58"/>
      <c r="H61" s="84">
        <f>CupDraw!O60</f>
        <v>30</v>
      </c>
      <c r="I61" s="68" t="str">
        <f>IF(CupDraw!P60="","",CupDraw!P60)</f>
        <v/>
      </c>
      <c r="J61" s="72" t="str">
        <f>IF(CupDraw!Q60="","",CupDraw!Q60)</f>
        <v/>
      </c>
      <c r="K61" s="81" t="str">
        <f>IF(CupDraw!R60="","",CupDraw!R60)</f>
        <v/>
      </c>
      <c r="L61" s="78"/>
      <c r="M61" s="76"/>
      <c r="N61" s="76"/>
      <c r="O61" s="76"/>
      <c r="P61" s="76"/>
      <c r="Q61" s="76"/>
      <c r="R61" s="79"/>
      <c r="S61" s="76"/>
      <c r="T61" s="58"/>
      <c r="U61" s="58"/>
      <c r="V61" s="58"/>
      <c r="W61" s="58"/>
      <c r="X61" s="80"/>
      <c r="Y61" s="76"/>
      <c r="Z61" s="76"/>
      <c r="AA61" s="76"/>
      <c r="AB61" s="76"/>
      <c r="AC61" s="76"/>
      <c r="AD61" s="76"/>
      <c r="AE61" s="76"/>
      <c r="AF61" s="76"/>
      <c r="AG61" s="76"/>
      <c r="AH61" s="76"/>
      <c r="AI61" s="76"/>
      <c r="AJ61" s="76"/>
      <c r="AK61" s="76"/>
      <c r="AL61" s="76"/>
      <c r="AM61" s="76"/>
      <c r="AN61" s="76"/>
      <c r="AO61" s="76"/>
      <c r="AP61" s="76"/>
      <c r="AQ61" s="76"/>
      <c r="AR61" s="76"/>
      <c r="AS61" s="76"/>
      <c r="AT61" s="76"/>
      <c r="AU61" s="76"/>
      <c r="AV61" s="76"/>
      <c r="AW61" s="76"/>
      <c r="AX61" s="76"/>
      <c r="AY61" s="76"/>
      <c r="AZ61" s="76"/>
      <c r="BA61" s="76"/>
      <c r="BB61" s="76"/>
      <c r="BC61" s="76"/>
      <c r="BD61" s="76"/>
      <c r="BE61" s="76"/>
      <c r="BF61" s="76"/>
    </row>
    <row r="62" spans="2:58">
      <c r="B62" s="83"/>
      <c r="C62" s="71" t="str">
        <f>IF(CupDraw!J61="","",CupDraw!J61)</f>
        <v/>
      </c>
      <c r="D62" s="72" t="str">
        <f>IF(CupDraw!K61="","",CupDraw!K61)</f>
        <v/>
      </c>
      <c r="E62" s="122" t="str">
        <f>IF(CupDraw!L61="","",CupDraw!L61)</f>
        <v/>
      </c>
      <c r="F62" s="58"/>
      <c r="G62" s="58"/>
      <c r="H62" s="83"/>
      <c r="I62" s="68" t="str">
        <f>IF(CupDraw!P61="","",CupDraw!P61)</f>
        <v/>
      </c>
      <c r="J62" s="72" t="str">
        <f>IF(CupDraw!Q61="","",CupDraw!Q61)</f>
        <v/>
      </c>
      <c r="K62" s="61" t="str">
        <f>IF(CupDraw!R61="","",CupDraw!R61)</f>
        <v/>
      </c>
      <c r="L62" s="78"/>
      <c r="M62" s="76"/>
      <c r="N62" s="76"/>
      <c r="O62" s="76"/>
      <c r="P62" s="76"/>
      <c r="Q62" s="76"/>
      <c r="R62" s="79"/>
      <c r="S62" s="76"/>
      <c r="T62" s="58"/>
      <c r="U62" s="58"/>
      <c r="V62" s="58"/>
      <c r="W62" s="58"/>
      <c r="X62" s="80"/>
      <c r="Y62" s="76"/>
      <c r="Z62" s="76"/>
      <c r="AA62" s="76"/>
      <c r="AB62" s="76"/>
      <c r="AC62" s="76"/>
      <c r="AD62" s="76"/>
      <c r="AE62" s="76"/>
      <c r="AF62" s="76"/>
      <c r="AG62" s="76"/>
      <c r="AH62" s="76"/>
      <c r="AI62" s="76"/>
      <c r="AJ62" s="76"/>
      <c r="AK62" s="76"/>
      <c r="AL62" s="76"/>
      <c r="AM62" s="76"/>
      <c r="AN62" s="76"/>
      <c r="AO62" s="76"/>
      <c r="AP62" s="76"/>
      <c r="AQ62" s="76"/>
      <c r="AR62" s="76"/>
      <c r="AS62" s="76"/>
      <c r="AT62" s="76"/>
      <c r="AU62" s="76"/>
      <c r="AV62" s="76"/>
      <c r="AW62" s="76"/>
      <c r="AX62" s="76"/>
      <c r="AY62" s="76"/>
      <c r="AZ62" s="76"/>
      <c r="BA62" s="76"/>
      <c r="BB62" s="76"/>
      <c r="BC62" s="76"/>
      <c r="BD62" s="76"/>
      <c r="BE62" s="76"/>
      <c r="BF62" s="76"/>
    </row>
    <row r="63" spans="2:58">
      <c r="B63" s="84">
        <f>CupDraw!I62</f>
        <v>31</v>
      </c>
      <c r="C63" s="71" t="str">
        <f>IF(CupDraw!J62="","",CupDraw!J62)</f>
        <v/>
      </c>
      <c r="D63" s="72" t="str">
        <f>IF(CupDraw!K62="","",CupDraw!K62)</f>
        <v/>
      </c>
      <c r="E63" s="81" t="str">
        <f>IF(CupDraw!L62="","",CupDraw!L62)</f>
        <v/>
      </c>
      <c r="F63" s="58"/>
      <c r="G63" s="58"/>
      <c r="H63" s="84">
        <f>CupDraw!O62</f>
        <v>31</v>
      </c>
      <c r="I63" s="68" t="str">
        <f>IF(CupDraw!P62="","",CupDraw!P62)</f>
        <v/>
      </c>
      <c r="J63" s="72" t="str">
        <f>IF(CupDraw!Q62="","",CupDraw!Q62)</f>
        <v/>
      </c>
      <c r="K63" s="81" t="str">
        <f>IF(CupDraw!R62="","",CupDraw!R62)</f>
        <v/>
      </c>
      <c r="L63" s="78"/>
      <c r="M63" s="76"/>
      <c r="N63" s="76"/>
      <c r="O63" s="76"/>
      <c r="P63" s="76"/>
      <c r="Q63" s="76"/>
      <c r="R63" s="79"/>
      <c r="S63" s="76"/>
      <c r="T63" s="58"/>
      <c r="U63" s="58"/>
      <c r="V63" s="58"/>
      <c r="W63" s="58"/>
      <c r="X63" s="80"/>
      <c r="Y63" s="76"/>
      <c r="Z63" s="76"/>
      <c r="AA63" s="76"/>
      <c r="AB63" s="76"/>
      <c r="AC63" s="76"/>
      <c r="AD63" s="76"/>
      <c r="AE63" s="76"/>
      <c r="AF63" s="76"/>
      <c r="AG63" s="76"/>
      <c r="AH63" s="76"/>
      <c r="AI63" s="76"/>
      <c r="AJ63" s="76"/>
      <c r="AK63" s="76"/>
      <c r="AL63" s="76"/>
      <c r="AM63" s="76"/>
      <c r="AN63" s="76"/>
      <c r="AO63" s="76"/>
      <c r="AP63" s="76"/>
      <c r="AQ63" s="76"/>
      <c r="AR63" s="76"/>
      <c r="AS63" s="76"/>
      <c r="AT63" s="76"/>
      <c r="AU63" s="76"/>
      <c r="AV63" s="76"/>
      <c r="AW63" s="76"/>
      <c r="AX63" s="76"/>
      <c r="AY63" s="76"/>
      <c r="AZ63" s="76"/>
      <c r="BA63" s="76"/>
      <c r="BB63" s="76"/>
      <c r="BC63" s="76"/>
      <c r="BD63" s="76"/>
      <c r="BE63" s="76"/>
      <c r="BF63" s="76"/>
    </row>
    <row r="64" spans="2:58">
      <c r="B64" s="83"/>
      <c r="C64" s="71" t="str">
        <f>IF(CupDraw!J63="","",CupDraw!J63)</f>
        <v/>
      </c>
      <c r="D64" s="72" t="str">
        <f>IF(CupDraw!K63="","",CupDraw!K63)</f>
        <v/>
      </c>
      <c r="E64" s="122" t="str">
        <f>IF(CupDraw!L63="","",CupDraw!L63)</f>
        <v/>
      </c>
      <c r="F64" s="58"/>
      <c r="G64" s="58"/>
      <c r="H64" s="83"/>
      <c r="I64" s="68" t="str">
        <f>IF(CupDraw!P63="","",CupDraw!P63)</f>
        <v/>
      </c>
      <c r="J64" s="72" t="str">
        <f>IF(CupDraw!Q63="","",CupDraw!Q63)</f>
        <v/>
      </c>
      <c r="K64" s="61" t="str">
        <f>IF(CupDraw!R63="","",CupDraw!R63)</f>
        <v/>
      </c>
      <c r="L64" s="78"/>
      <c r="M64" s="76"/>
      <c r="N64" s="76"/>
      <c r="O64" s="76"/>
      <c r="P64" s="76"/>
      <c r="Q64" s="76"/>
      <c r="R64" s="79"/>
      <c r="S64" s="76"/>
      <c r="X64" s="80"/>
      <c r="Y64" s="76"/>
      <c r="Z64" s="76"/>
      <c r="AA64" s="76"/>
      <c r="AB64" s="76"/>
      <c r="AC64" s="76"/>
      <c r="AD64" s="76"/>
      <c r="AE64" s="76"/>
      <c r="AF64" s="76"/>
      <c r="AG64" s="76"/>
      <c r="AH64" s="76"/>
      <c r="AI64" s="76"/>
      <c r="AJ64" s="76"/>
      <c r="AK64" s="76"/>
      <c r="AL64" s="76"/>
      <c r="AM64" s="76"/>
      <c r="AN64" s="76"/>
      <c r="AO64" s="76"/>
      <c r="AP64" s="76"/>
      <c r="AQ64" s="76"/>
      <c r="AR64" s="76"/>
      <c r="AS64" s="76"/>
      <c r="AT64" s="76"/>
      <c r="AU64" s="76"/>
      <c r="AV64" s="76"/>
      <c r="AW64" s="76"/>
      <c r="AX64" s="76"/>
      <c r="AY64" s="76"/>
      <c r="AZ64" s="76"/>
      <c r="BA64" s="76"/>
      <c r="BB64" s="76"/>
      <c r="BC64" s="76"/>
      <c r="BD64" s="76"/>
      <c r="BE64" s="76"/>
      <c r="BF64" s="76"/>
    </row>
    <row r="65" spans="2:58">
      <c r="B65" s="84">
        <f>CupDraw!I64</f>
        <v>32</v>
      </c>
      <c r="C65" s="71" t="str">
        <f>IF(CupDraw!J64="","",CupDraw!J64)</f>
        <v/>
      </c>
      <c r="D65" s="72" t="str">
        <f>IF(CupDraw!K64="","",CupDraw!K64)</f>
        <v/>
      </c>
      <c r="E65" s="81" t="str">
        <f>IF(CupDraw!L64="","",CupDraw!L64)</f>
        <v/>
      </c>
      <c r="F65" s="58"/>
      <c r="G65" s="58"/>
      <c r="H65" s="84">
        <f>CupDraw!O64</f>
        <v>32</v>
      </c>
      <c r="I65" s="68" t="str">
        <f>IF(CupDraw!P64="","",CupDraw!P64)</f>
        <v/>
      </c>
      <c r="J65" s="72" t="str">
        <f>IF(CupDraw!Q64="","",CupDraw!Q64)</f>
        <v/>
      </c>
      <c r="K65" s="81" t="str">
        <f>IF(CupDraw!R64="","",CupDraw!R64)</f>
        <v/>
      </c>
      <c r="L65" s="78"/>
      <c r="M65" s="76"/>
      <c r="N65" s="76"/>
      <c r="O65" s="76"/>
      <c r="P65" s="76"/>
      <c r="Q65" s="76"/>
      <c r="R65" s="79"/>
      <c r="S65" s="76"/>
      <c r="X65" s="78"/>
      <c r="Y65" s="76"/>
      <c r="Z65" s="76"/>
      <c r="AA65" s="76"/>
      <c r="AB65" s="76"/>
      <c r="AC65" s="76"/>
      <c r="AD65" s="76"/>
      <c r="AE65" s="76"/>
      <c r="AF65" s="76"/>
      <c r="AG65" s="76"/>
      <c r="AH65" s="76"/>
      <c r="AI65" s="76"/>
      <c r="AJ65" s="76"/>
      <c r="AK65" s="76"/>
      <c r="AL65" s="76"/>
      <c r="AM65" s="76"/>
      <c r="AN65" s="76"/>
      <c r="AO65" s="76"/>
      <c r="AP65" s="76"/>
      <c r="AQ65" s="76"/>
      <c r="AR65" s="76"/>
      <c r="AS65" s="76"/>
      <c r="AT65" s="76"/>
      <c r="AU65" s="76"/>
      <c r="AV65" s="76"/>
      <c r="AW65" s="76"/>
      <c r="AX65" s="76"/>
      <c r="AY65" s="76"/>
      <c r="AZ65" s="76"/>
      <c r="BA65" s="76"/>
      <c r="BB65" s="76"/>
      <c r="BC65" s="76"/>
      <c r="BD65" s="76"/>
      <c r="BE65" s="76"/>
      <c r="BF65" s="76"/>
    </row>
    <row r="66" spans="2:58">
      <c r="B66" s="83"/>
      <c r="C66" s="71" t="str">
        <f>IF(CupDraw!J65="","",CupDraw!J65)</f>
        <v/>
      </c>
      <c r="D66" s="72" t="str">
        <f>IF(CupDraw!K65="","",CupDraw!K65)</f>
        <v/>
      </c>
      <c r="E66" s="122" t="str">
        <f>IF(CupDraw!L65="","",CupDraw!L65)</f>
        <v/>
      </c>
      <c r="F66" s="58"/>
      <c r="G66" s="58"/>
      <c r="H66" s="83"/>
      <c r="I66" s="68" t="str">
        <f>IF(CupDraw!P65="","",CupDraw!P65)</f>
        <v/>
      </c>
      <c r="J66" s="72" t="str">
        <f>IF(CupDraw!Q65="","",CupDraw!Q65)</f>
        <v/>
      </c>
      <c r="K66" s="61" t="str">
        <f>IF(CupDraw!R65="","",CupDraw!R65)</f>
        <v/>
      </c>
      <c r="L66" s="78"/>
      <c r="M66" s="76"/>
      <c r="N66" s="76"/>
      <c r="O66" s="76"/>
      <c r="P66" s="76"/>
      <c r="Q66" s="76"/>
      <c r="R66" s="79"/>
      <c r="S66" s="76"/>
      <c r="X66" s="78"/>
      <c r="Y66" s="76"/>
      <c r="Z66" s="76"/>
      <c r="AA66" s="76"/>
      <c r="AB66" s="76"/>
      <c r="AC66" s="76"/>
      <c r="AD66" s="76"/>
      <c r="AE66" s="76"/>
      <c r="AF66" s="76"/>
      <c r="AG66" s="76"/>
      <c r="AH66" s="76"/>
      <c r="AI66" s="76"/>
      <c r="AJ66" s="76"/>
      <c r="AK66" s="76"/>
      <c r="AL66" s="76"/>
      <c r="AM66" s="76"/>
      <c r="AN66" s="76"/>
      <c r="AO66" s="76"/>
      <c r="AP66" s="76"/>
      <c r="AQ66" s="76"/>
      <c r="AR66" s="76"/>
      <c r="AS66" s="76"/>
      <c r="AT66" s="76"/>
      <c r="AU66" s="76"/>
      <c r="AV66" s="76"/>
      <c r="AW66" s="76"/>
      <c r="AX66" s="76"/>
      <c r="AY66" s="76"/>
      <c r="AZ66" s="76"/>
      <c r="BA66" s="76"/>
      <c r="BB66" s="76"/>
      <c r="BC66" s="76"/>
      <c r="BD66" s="76"/>
      <c r="BE66" s="76"/>
      <c r="BF66" s="76"/>
    </row>
    <row r="67" spans="2:58">
      <c r="B67" s="84">
        <f>CupDraw!I66</f>
        <v>33</v>
      </c>
      <c r="C67" s="71" t="str">
        <f>IF(CupDraw!J66="","",CupDraw!J66)</f>
        <v/>
      </c>
      <c r="D67" s="72" t="str">
        <f>IF(CupDraw!K66="","",CupDraw!K66)</f>
        <v/>
      </c>
      <c r="E67" s="81" t="str">
        <f>IF(CupDraw!L66="","",CupDraw!L66)</f>
        <v/>
      </c>
      <c r="F67" s="58"/>
      <c r="G67" s="58"/>
      <c r="H67" s="59"/>
      <c r="I67" s="58"/>
      <c r="J67" s="86"/>
      <c r="K67" s="58"/>
      <c r="L67" s="79"/>
      <c r="M67" s="76"/>
      <c r="N67" s="76"/>
      <c r="O67" s="76"/>
      <c r="P67" s="76"/>
      <c r="Q67" s="76"/>
      <c r="R67" s="79"/>
      <c r="S67" s="76"/>
      <c r="X67" s="78"/>
      <c r="Y67" s="76"/>
      <c r="Z67" s="76"/>
      <c r="AA67" s="76"/>
      <c r="AB67" s="76"/>
      <c r="AC67" s="76"/>
      <c r="AD67" s="76"/>
      <c r="AE67" s="76"/>
      <c r="AF67" s="76"/>
      <c r="AG67" s="76"/>
      <c r="AH67" s="76"/>
      <c r="AI67" s="76"/>
      <c r="AJ67" s="76"/>
      <c r="AK67" s="76"/>
      <c r="AL67" s="76"/>
      <c r="AM67" s="76"/>
      <c r="AN67" s="76"/>
      <c r="AO67" s="76"/>
      <c r="AP67" s="76"/>
      <c r="AQ67" s="76"/>
      <c r="AR67" s="76"/>
      <c r="AS67" s="76"/>
      <c r="AT67" s="76"/>
      <c r="AU67" s="76"/>
      <c r="AV67" s="76"/>
      <c r="AW67" s="76"/>
      <c r="AX67" s="76"/>
      <c r="AY67" s="76"/>
      <c r="AZ67" s="76"/>
      <c r="BA67" s="76"/>
      <c r="BB67" s="76"/>
      <c r="BC67" s="76"/>
      <c r="BD67" s="76"/>
      <c r="BE67" s="76"/>
      <c r="BF67" s="76"/>
    </row>
    <row r="68" spans="2:58">
      <c r="B68" s="83"/>
      <c r="C68" s="71" t="str">
        <f>IF(CupDraw!J67="","",CupDraw!J67)</f>
        <v/>
      </c>
      <c r="D68" s="72" t="str">
        <f>IF(CupDraw!K67="","",CupDraw!K67)</f>
        <v/>
      </c>
      <c r="E68" s="122" t="str">
        <f>IF(CupDraw!L67="","",CupDraw!L67)</f>
        <v/>
      </c>
      <c r="F68" s="58"/>
      <c r="G68" s="58"/>
      <c r="H68" s="59"/>
      <c r="I68" s="58"/>
      <c r="J68" s="86"/>
      <c r="K68" s="58"/>
      <c r="L68" s="79"/>
      <c r="M68" s="76"/>
      <c r="N68" s="76"/>
      <c r="O68" s="76"/>
      <c r="P68" s="76"/>
      <c r="Q68" s="76"/>
      <c r="R68" s="79"/>
      <c r="S68" s="76"/>
      <c r="X68" s="78"/>
      <c r="Y68" s="76"/>
      <c r="Z68" s="76"/>
      <c r="AA68" s="76"/>
      <c r="AB68" s="76"/>
      <c r="AC68" s="76"/>
      <c r="AD68" s="76"/>
      <c r="AE68" s="76"/>
      <c r="AF68" s="76"/>
      <c r="AG68" s="76"/>
      <c r="AH68" s="76"/>
      <c r="AI68" s="76"/>
      <c r="AJ68" s="76"/>
      <c r="AK68" s="76"/>
      <c r="AL68" s="76"/>
      <c r="AM68" s="76"/>
      <c r="AN68" s="76"/>
      <c r="AO68" s="76"/>
      <c r="AP68" s="76"/>
      <c r="AQ68" s="76"/>
      <c r="AR68" s="76"/>
      <c r="AS68" s="76"/>
      <c r="AT68" s="76"/>
      <c r="AU68" s="76"/>
      <c r="AV68" s="76"/>
      <c r="AW68" s="76"/>
      <c r="AX68" s="76"/>
      <c r="AY68" s="76"/>
      <c r="AZ68" s="76"/>
      <c r="BA68" s="76"/>
      <c r="BB68" s="76"/>
      <c r="BC68" s="76"/>
      <c r="BD68" s="76"/>
      <c r="BE68" s="76"/>
      <c r="BF68" s="76"/>
    </row>
    <row r="69" spans="2:58">
      <c r="B69" s="84">
        <f>CupDraw!I68</f>
        <v>34</v>
      </c>
      <c r="C69" s="71" t="str">
        <f>IF(CupDraw!J68="","",CupDraw!J68)</f>
        <v/>
      </c>
      <c r="D69" s="72" t="str">
        <f>IF(CupDraw!K68="","",CupDraw!K68)</f>
        <v/>
      </c>
      <c r="E69" s="81" t="str">
        <f>IF(CupDraw!L68="","",CupDraw!L68)</f>
        <v/>
      </c>
      <c r="F69" s="58"/>
      <c r="G69" s="58"/>
      <c r="H69" s="328" t="str">
        <f>CupDraw!O68</f>
        <v>Earlier drawn ties</v>
      </c>
      <c r="I69" s="103"/>
      <c r="J69" s="603"/>
      <c r="K69" s="103"/>
      <c r="L69" s="80"/>
      <c r="M69" s="76"/>
      <c r="N69" s="76"/>
      <c r="O69" s="76"/>
      <c r="P69" s="76"/>
      <c r="Q69" s="76"/>
      <c r="R69" s="79"/>
      <c r="S69" s="76"/>
      <c r="X69" s="80"/>
      <c r="Y69" s="76"/>
      <c r="Z69" s="76"/>
      <c r="AA69" s="76"/>
      <c r="AB69" s="76"/>
      <c r="AC69" s="76"/>
      <c r="AD69" s="76"/>
      <c r="AE69" s="76"/>
      <c r="AF69" s="76"/>
      <c r="AG69" s="76"/>
      <c r="AH69" s="76"/>
      <c r="AI69" s="76"/>
      <c r="AJ69" s="76"/>
      <c r="AK69" s="76"/>
      <c r="AL69" s="76"/>
      <c r="AM69" s="76"/>
      <c r="AN69" s="76"/>
      <c r="AO69" s="76"/>
      <c r="AP69" s="76"/>
      <c r="AQ69" s="76"/>
      <c r="AR69" s="76"/>
      <c r="AS69" s="76"/>
      <c r="AT69" s="76"/>
      <c r="AU69" s="76"/>
      <c r="AV69" s="76"/>
      <c r="AW69" s="76"/>
      <c r="AX69" s="76"/>
      <c r="AY69" s="76"/>
      <c r="AZ69" s="76"/>
      <c r="BA69" s="76"/>
      <c r="BB69" s="76"/>
      <c r="BC69" s="76"/>
      <c r="BD69" s="76"/>
      <c r="BE69" s="76"/>
      <c r="BF69" s="76"/>
    </row>
    <row r="70" spans="2:58">
      <c r="B70" s="83"/>
      <c r="C70" s="71" t="str">
        <f>IF(CupDraw!J69="","",CupDraw!J69)</f>
        <v/>
      </c>
      <c r="D70" s="72" t="str">
        <f>IF(CupDraw!K69="","",CupDraw!K69)</f>
        <v/>
      </c>
      <c r="E70" s="122" t="str">
        <f>IF(CupDraw!L69="","",CupDraw!L69)</f>
        <v/>
      </c>
      <c r="F70" s="58"/>
      <c r="G70" s="58"/>
      <c r="H70" s="704" t="str">
        <f>IF(CupDraw!O69="","",CupDraw!O69)</f>
        <v/>
      </c>
      <c r="I70" s="68" t="str">
        <f>IF(CupDraw!P69="","",CupDraw!P69)</f>
        <v/>
      </c>
      <c r="J70" s="72" t="str">
        <f>IF(CupDraw!Q69="","",CupDraw!Q69)</f>
        <v/>
      </c>
      <c r="K70" s="81" t="str">
        <f>IF(CupDraw!R69="","",CupDraw!R69)</f>
        <v/>
      </c>
      <c r="L70" s="78"/>
      <c r="M70" s="76"/>
      <c r="N70" s="76"/>
      <c r="O70" s="76"/>
      <c r="P70" s="76"/>
      <c r="Q70" s="76"/>
      <c r="R70" s="79"/>
      <c r="S70" s="76"/>
      <c r="X70" s="80"/>
      <c r="Y70" s="76"/>
      <c r="Z70" s="76"/>
      <c r="AA70" s="76"/>
      <c r="AB70" s="76"/>
      <c r="AC70" s="76"/>
      <c r="AD70" s="76"/>
      <c r="AE70" s="76"/>
      <c r="AF70" s="76"/>
      <c r="AG70" s="76"/>
      <c r="AH70" s="76"/>
      <c r="AI70" s="76"/>
      <c r="AJ70" s="76"/>
      <c r="AK70" s="76"/>
      <c r="AL70" s="76"/>
      <c r="AM70" s="76"/>
      <c r="AN70" s="76"/>
      <c r="AO70" s="76"/>
      <c r="AP70" s="76"/>
      <c r="AQ70" s="76"/>
      <c r="AR70" s="76"/>
      <c r="AS70" s="76"/>
      <c r="AT70" s="76"/>
      <c r="AU70" s="76"/>
      <c r="AV70" s="76"/>
      <c r="AW70" s="76"/>
      <c r="AX70" s="76"/>
      <c r="AY70" s="76"/>
      <c r="AZ70" s="76"/>
      <c r="BA70" s="76"/>
      <c r="BB70" s="76"/>
      <c r="BC70" s="76"/>
      <c r="BD70" s="76"/>
      <c r="BE70" s="76"/>
      <c r="BF70" s="76"/>
    </row>
    <row r="71" spans="2:58">
      <c r="B71" s="84">
        <f>CupDraw!I70</f>
        <v>35</v>
      </c>
      <c r="C71" s="71" t="str">
        <f>IF(CupDraw!J70="","",CupDraw!J70)</f>
        <v/>
      </c>
      <c r="D71" s="72" t="str">
        <f>IF(CupDraw!K70="","",CupDraw!K70)</f>
        <v/>
      </c>
      <c r="E71" s="81" t="str">
        <f>IF(CupDraw!L70="","",CupDraw!L70)</f>
        <v/>
      </c>
      <c r="F71" s="58"/>
      <c r="G71" s="58"/>
      <c r="H71" s="705">
        <f>CupDraw!O70</f>
        <v>0</v>
      </c>
      <c r="I71" s="68" t="str">
        <f>IF(CupDraw!P70="","",CupDraw!P70)</f>
        <v/>
      </c>
      <c r="J71" s="72" t="str">
        <f>IF(CupDraw!Q70="","",CupDraw!Q70)</f>
        <v/>
      </c>
      <c r="K71" s="61" t="str">
        <f>IF(CupDraw!R70="","",CupDraw!R70)</f>
        <v/>
      </c>
      <c r="L71" s="78"/>
      <c r="M71" s="76"/>
      <c r="N71" s="76"/>
      <c r="O71" s="76"/>
      <c r="P71" s="76"/>
      <c r="Q71" s="76"/>
      <c r="R71" s="79"/>
      <c r="S71" s="76"/>
      <c r="X71" s="80"/>
      <c r="Y71" s="76"/>
      <c r="Z71" s="76"/>
      <c r="AA71" s="76"/>
      <c r="AB71" s="76"/>
      <c r="AC71" s="76"/>
      <c r="AD71" s="76"/>
      <c r="AE71" s="76"/>
      <c r="AF71" s="76"/>
      <c r="AG71" s="76"/>
      <c r="AH71" s="76"/>
      <c r="AI71" s="76"/>
      <c r="AJ71" s="76"/>
      <c r="AK71" s="76"/>
      <c r="AL71" s="76"/>
      <c r="AM71" s="76"/>
      <c r="AN71" s="76"/>
      <c r="AO71" s="76"/>
      <c r="AP71" s="76"/>
      <c r="AQ71" s="76"/>
      <c r="AR71" s="76"/>
      <c r="AS71" s="76"/>
      <c r="AT71" s="76"/>
      <c r="AU71" s="76"/>
      <c r="AV71" s="76"/>
      <c r="AW71" s="76"/>
      <c r="AX71" s="76"/>
      <c r="AY71" s="76"/>
      <c r="AZ71" s="76"/>
      <c r="BA71" s="76"/>
      <c r="BB71" s="76"/>
      <c r="BC71" s="76"/>
      <c r="BD71" s="76"/>
      <c r="BE71" s="76"/>
      <c r="BF71" s="76"/>
    </row>
    <row r="72" spans="2:58">
      <c r="B72" s="83"/>
      <c r="C72" s="71" t="str">
        <f>IF(CupDraw!J71="","",CupDraw!J71)</f>
        <v/>
      </c>
      <c r="D72" s="72" t="str">
        <f>IF(CupDraw!K71="","",CupDraw!K71)</f>
        <v/>
      </c>
      <c r="E72" s="122" t="str">
        <f>IF(CupDraw!L71="","",CupDraw!L71)</f>
        <v/>
      </c>
      <c r="F72" s="58"/>
      <c r="G72" s="58"/>
      <c r="H72" s="704" t="str">
        <f>IF(CupDraw!O71="","",CupDraw!O71)</f>
        <v/>
      </c>
      <c r="I72" s="68" t="str">
        <f>IF(CupDraw!P71="","",CupDraw!P71)</f>
        <v/>
      </c>
      <c r="J72" s="72" t="str">
        <f>IF(CupDraw!Q71="","",CupDraw!Q71)</f>
        <v/>
      </c>
      <c r="K72" s="81" t="str">
        <f>IF(CupDraw!R71="","",CupDraw!R71)</f>
        <v/>
      </c>
      <c r="L72" s="78"/>
      <c r="M72" s="76"/>
      <c r="N72" s="76"/>
      <c r="O72" s="76"/>
      <c r="P72" s="76"/>
      <c r="Q72" s="76"/>
      <c r="R72" s="79"/>
      <c r="S72" s="76"/>
      <c r="X72" s="80"/>
      <c r="Y72" s="76"/>
      <c r="Z72" s="76"/>
      <c r="AA72" s="76"/>
      <c r="AB72" s="76"/>
      <c r="AC72" s="76"/>
      <c r="AD72" s="76"/>
      <c r="AE72" s="76"/>
      <c r="AF72" s="76"/>
      <c r="AG72" s="76"/>
      <c r="AH72" s="76"/>
      <c r="AI72" s="76"/>
      <c r="AJ72" s="76"/>
      <c r="AK72" s="76"/>
      <c r="AL72" s="76"/>
      <c r="AM72" s="76"/>
      <c r="AN72" s="76"/>
      <c r="AO72" s="76"/>
      <c r="AP72" s="76"/>
      <c r="AQ72" s="76"/>
      <c r="AR72" s="76"/>
      <c r="AS72" s="76"/>
      <c r="AT72" s="76"/>
      <c r="AU72" s="76"/>
      <c r="AV72" s="76"/>
      <c r="AW72" s="76"/>
      <c r="AX72" s="76"/>
      <c r="AY72" s="76"/>
      <c r="AZ72" s="76"/>
      <c r="BA72" s="76"/>
      <c r="BB72" s="76"/>
      <c r="BC72" s="76"/>
      <c r="BD72" s="76"/>
      <c r="BE72" s="76"/>
      <c r="BF72" s="76"/>
    </row>
    <row r="73" spans="2:58">
      <c r="B73" s="84">
        <f>CupDraw!I72</f>
        <v>36</v>
      </c>
      <c r="C73" s="71" t="str">
        <f>IF(CupDraw!J72="","",CupDraw!J72)</f>
        <v/>
      </c>
      <c r="D73" s="72" t="str">
        <f>IF(CupDraw!K72="","",CupDraw!K72)</f>
        <v/>
      </c>
      <c r="E73" s="81" t="str">
        <f>IF(CupDraw!L72="","",CupDraw!L72)</f>
        <v/>
      </c>
      <c r="F73" s="58"/>
      <c r="G73" s="58"/>
      <c r="H73" s="705">
        <f>CupDraw!O72</f>
        <v>0</v>
      </c>
      <c r="I73" s="68" t="str">
        <f>IF(CupDraw!P72="","",CupDraw!P72)</f>
        <v/>
      </c>
      <c r="J73" s="72" t="str">
        <f>IF(CupDraw!Q72="","",CupDraw!Q72)</f>
        <v/>
      </c>
      <c r="K73" s="61" t="str">
        <f>IF(CupDraw!R72="","",CupDraw!R72)</f>
        <v/>
      </c>
      <c r="L73" s="78"/>
      <c r="M73" s="76"/>
      <c r="N73" s="76"/>
      <c r="O73" s="76"/>
      <c r="P73" s="76"/>
      <c r="Q73" s="76"/>
      <c r="R73" s="79"/>
      <c r="S73" s="76"/>
      <c r="X73" s="80"/>
      <c r="Y73" s="76"/>
      <c r="Z73" s="76"/>
      <c r="AA73" s="76"/>
      <c r="AB73" s="76"/>
      <c r="AC73" s="76"/>
      <c r="AD73" s="76"/>
      <c r="AE73" s="76"/>
      <c r="AF73" s="76"/>
      <c r="AG73" s="76"/>
      <c r="AH73" s="76"/>
      <c r="AI73" s="76"/>
      <c r="AJ73" s="76"/>
      <c r="AK73" s="76"/>
      <c r="AL73" s="76"/>
      <c r="AM73" s="76"/>
      <c r="AN73" s="76"/>
      <c r="AO73" s="76"/>
      <c r="AP73" s="76"/>
      <c r="AQ73" s="76"/>
      <c r="AR73" s="76"/>
      <c r="AS73" s="76"/>
      <c r="AT73" s="76"/>
      <c r="AU73" s="76"/>
      <c r="AV73" s="76"/>
      <c r="AW73" s="76"/>
      <c r="AX73" s="76"/>
      <c r="AY73" s="76"/>
      <c r="AZ73" s="76"/>
      <c r="BA73" s="76"/>
      <c r="BB73" s="76"/>
      <c r="BC73" s="76"/>
      <c r="BD73" s="76"/>
      <c r="BE73" s="76"/>
      <c r="BF73" s="76"/>
    </row>
    <row r="74" spans="2:58">
      <c r="B74" s="83"/>
      <c r="C74" s="71" t="str">
        <f>IF(CupDraw!J73="","",CupDraw!J73)</f>
        <v/>
      </c>
      <c r="D74" s="72" t="str">
        <f>IF(CupDraw!K73="","",CupDraw!K73)</f>
        <v/>
      </c>
      <c r="E74" s="122" t="str">
        <f>IF(CupDraw!L73="","",CupDraw!L73)</f>
        <v/>
      </c>
      <c r="F74" s="58"/>
      <c r="G74" s="58"/>
      <c r="H74" s="704" t="str">
        <f>IF(CupDraw!O73="","",CupDraw!O73)</f>
        <v/>
      </c>
      <c r="I74" s="68" t="str">
        <f>IF(CupDraw!P73="","",CupDraw!P73)</f>
        <v/>
      </c>
      <c r="J74" s="72" t="str">
        <f>IF(CupDraw!Q73="","",CupDraw!Q73)</f>
        <v/>
      </c>
      <c r="K74" s="81" t="str">
        <f>IF(CupDraw!R73="","",CupDraw!R73)</f>
        <v/>
      </c>
      <c r="L74" s="78"/>
      <c r="M74" s="76"/>
      <c r="N74" s="76"/>
      <c r="O74" s="76"/>
      <c r="P74" s="76"/>
      <c r="Q74" s="76"/>
      <c r="R74" s="79"/>
      <c r="S74" s="76"/>
      <c r="X74" s="80"/>
      <c r="Y74" s="76"/>
      <c r="Z74" s="76"/>
      <c r="AA74" s="76"/>
      <c r="AB74" s="76"/>
      <c r="AC74" s="76"/>
      <c r="AD74" s="76"/>
      <c r="AE74" s="76"/>
      <c r="AF74" s="76"/>
      <c r="AG74" s="76"/>
      <c r="AH74" s="76"/>
      <c r="AI74" s="76"/>
      <c r="AJ74" s="76"/>
      <c r="AK74" s="76"/>
      <c r="AL74" s="76"/>
      <c r="AM74" s="76"/>
      <c r="AN74" s="76"/>
      <c r="AO74" s="76"/>
      <c r="AP74" s="76"/>
      <c r="AQ74" s="76"/>
      <c r="AR74" s="76"/>
      <c r="AS74" s="76"/>
      <c r="AT74" s="76"/>
      <c r="AU74" s="76"/>
      <c r="AV74" s="76"/>
      <c r="AW74" s="76"/>
      <c r="AX74" s="76"/>
      <c r="AY74" s="76"/>
      <c r="AZ74" s="76"/>
      <c r="BA74" s="76"/>
      <c r="BB74" s="76"/>
      <c r="BC74" s="76"/>
      <c r="BD74" s="76"/>
      <c r="BE74" s="76"/>
      <c r="BF74" s="76"/>
    </row>
    <row r="75" spans="2:58">
      <c r="B75" s="14"/>
      <c r="C75" s="58"/>
      <c r="D75" s="58"/>
      <c r="E75" s="58"/>
      <c r="F75" s="58"/>
      <c r="G75" s="58"/>
      <c r="H75" s="705">
        <f>CupDraw!O74</f>
        <v>0</v>
      </c>
      <c r="I75" s="68" t="str">
        <f>IF(CupDraw!P74="","",CupDraw!P74)</f>
        <v/>
      </c>
      <c r="J75" s="72" t="str">
        <f>IF(CupDraw!Q74="","",CupDraw!Q74)</f>
        <v/>
      </c>
      <c r="K75" s="61" t="str">
        <f>IF(CupDraw!R74="","",CupDraw!R74)</f>
        <v/>
      </c>
      <c r="L75" s="78"/>
      <c r="M75" s="76"/>
      <c r="N75" s="76"/>
      <c r="O75" s="76"/>
      <c r="P75" s="76"/>
      <c r="Q75" s="76"/>
      <c r="R75" s="79"/>
      <c r="S75" s="76"/>
      <c r="T75" s="76"/>
      <c r="U75" s="76"/>
      <c r="V75" s="76"/>
      <c r="W75" s="76"/>
      <c r="X75" s="80"/>
      <c r="Y75" s="76"/>
      <c r="Z75" s="76"/>
      <c r="AA75" s="76"/>
      <c r="AB75" s="76"/>
      <c r="AC75" s="76"/>
      <c r="AD75" s="76"/>
      <c r="AE75" s="76"/>
      <c r="AF75" s="76"/>
      <c r="AG75" s="76"/>
      <c r="AH75" s="76"/>
      <c r="AI75" s="76"/>
      <c r="AJ75" s="76"/>
      <c r="AK75" s="76"/>
      <c r="AL75" s="76"/>
      <c r="AM75" s="76"/>
      <c r="AN75" s="76"/>
      <c r="AO75" s="76"/>
      <c r="AP75" s="76"/>
      <c r="AQ75" s="76"/>
      <c r="AR75" s="76"/>
      <c r="AS75" s="76"/>
      <c r="AT75" s="76"/>
      <c r="AU75" s="76"/>
      <c r="AV75" s="76"/>
      <c r="AW75" s="76"/>
      <c r="AX75" s="76"/>
      <c r="AY75" s="76"/>
      <c r="AZ75" s="76"/>
      <c r="BA75" s="76"/>
      <c r="BB75" s="76"/>
      <c r="BC75" s="76"/>
      <c r="BD75" s="76"/>
      <c r="BE75" s="76"/>
      <c r="BF75" s="76"/>
    </row>
    <row r="76" spans="2:58">
      <c r="B76" s="59"/>
      <c r="C76" s="58"/>
      <c r="D76" s="58"/>
      <c r="E76" s="58"/>
      <c r="F76" s="58"/>
      <c r="G76" s="58"/>
      <c r="H76" s="704" t="str">
        <f>IF(CupDraw!O75="","",CupDraw!O75)</f>
        <v/>
      </c>
      <c r="I76" s="68" t="str">
        <f>IF(CupDraw!P75="","",CupDraw!P75)</f>
        <v/>
      </c>
      <c r="J76" s="72" t="str">
        <f>IF(CupDraw!Q75="","",CupDraw!Q75)</f>
        <v/>
      </c>
      <c r="K76" s="81" t="str">
        <f>IF(CupDraw!R75="","",CupDraw!R75)</f>
        <v/>
      </c>
      <c r="L76" s="78"/>
      <c r="M76" s="76"/>
      <c r="N76" s="76"/>
      <c r="O76" s="76"/>
      <c r="P76" s="76"/>
      <c r="Q76" s="76"/>
      <c r="R76" s="79"/>
      <c r="S76" s="76"/>
      <c r="T76" s="76"/>
      <c r="U76" s="76"/>
      <c r="V76" s="76"/>
      <c r="W76" s="76"/>
      <c r="X76" s="80"/>
      <c r="Y76" s="76"/>
      <c r="Z76" s="76"/>
      <c r="AA76" s="76"/>
      <c r="AB76" s="76"/>
      <c r="AC76" s="76"/>
      <c r="AD76" s="76"/>
      <c r="AE76" s="76"/>
      <c r="AF76" s="76"/>
      <c r="AG76" s="76"/>
      <c r="AH76" s="76"/>
      <c r="AI76" s="76"/>
      <c r="AJ76" s="76"/>
      <c r="AK76" s="76"/>
      <c r="AL76" s="76"/>
      <c r="AM76" s="76"/>
      <c r="AN76" s="76"/>
      <c r="AO76" s="76"/>
      <c r="AP76" s="76"/>
      <c r="AQ76" s="76"/>
      <c r="AR76" s="76"/>
      <c r="AS76" s="76"/>
      <c r="AT76" s="76"/>
      <c r="AU76" s="76"/>
      <c r="AV76" s="76"/>
      <c r="AW76" s="76"/>
      <c r="AX76" s="76"/>
      <c r="AY76" s="76"/>
      <c r="AZ76" s="76"/>
      <c r="BA76" s="76"/>
      <c r="BB76" s="76"/>
      <c r="BC76" s="76"/>
      <c r="BD76" s="76"/>
      <c r="BE76" s="76"/>
      <c r="BF76" s="76"/>
    </row>
    <row r="77" spans="2:58">
      <c r="B77" s="59" t="s">
        <v>137</v>
      </c>
      <c r="C77" s="76"/>
      <c r="D77" s="76"/>
      <c r="E77" s="76"/>
      <c r="F77" s="58"/>
      <c r="G77" s="58"/>
      <c r="H77" s="705">
        <f>CupDraw!O76</f>
        <v>0</v>
      </c>
      <c r="I77" s="68" t="str">
        <f>IF(CupDraw!P76="","",CupDraw!P76)</f>
        <v/>
      </c>
      <c r="J77" s="72" t="str">
        <f>IF(CupDraw!Q76="","",CupDraw!Q76)</f>
        <v/>
      </c>
      <c r="K77" s="61" t="str">
        <f>IF(CupDraw!R76="","",CupDraw!R76)</f>
        <v/>
      </c>
      <c r="L77" s="78"/>
      <c r="M77" s="76"/>
      <c r="N77" s="76"/>
      <c r="O77" s="76"/>
      <c r="P77" s="76"/>
      <c r="Q77" s="76"/>
      <c r="R77" s="79"/>
      <c r="S77" s="76"/>
      <c r="T77" s="76"/>
      <c r="U77" s="76"/>
      <c r="V77" s="76"/>
      <c r="W77" s="76"/>
      <c r="X77" s="80"/>
      <c r="Y77" s="76"/>
      <c r="Z77" s="76"/>
      <c r="AA77" s="76"/>
      <c r="AB77" s="76"/>
      <c r="AC77" s="76"/>
      <c r="AD77" s="76"/>
      <c r="AE77" s="76"/>
      <c r="AF77" s="76"/>
      <c r="AG77" s="76"/>
      <c r="AH77" s="76"/>
      <c r="AI77" s="76"/>
      <c r="AJ77" s="76"/>
      <c r="AK77" s="76"/>
      <c r="AL77" s="76"/>
      <c r="AM77" s="76"/>
      <c r="AN77" s="76"/>
      <c r="AO77" s="76"/>
      <c r="AP77" s="76"/>
      <c r="AQ77" s="76"/>
      <c r="AR77" s="76"/>
      <c r="AS77" s="76"/>
      <c r="AT77" s="76"/>
      <c r="AU77" s="76"/>
      <c r="AV77" s="76"/>
      <c r="AW77" s="76"/>
      <c r="AX77" s="76"/>
      <c r="AY77" s="76"/>
      <c r="AZ77" s="76"/>
      <c r="BA77" s="76"/>
      <c r="BB77" s="76"/>
      <c r="BC77" s="76"/>
      <c r="BD77" s="76"/>
      <c r="BE77" s="76"/>
      <c r="BF77" s="76"/>
    </row>
    <row r="78" spans="2:58">
      <c r="B78" s="60"/>
      <c r="C78" s="68" t="str">
        <f>IF(CupDraw!J79="","",CupDraw!J79)</f>
        <v/>
      </c>
      <c r="D78" s="72" t="str">
        <f>IF(CupDraw!K79="","",CupDraw!K79)</f>
        <v/>
      </c>
      <c r="E78" s="708" t="str">
        <f>IF(CupDraw!L79="","",CupDraw!L79)</f>
        <v/>
      </c>
      <c r="F78" s="58"/>
      <c r="G78" s="58"/>
      <c r="H78" s="704" t="str">
        <f>IF(CupDraw!O77="","",CupDraw!O77)</f>
        <v/>
      </c>
      <c r="I78" s="68" t="str">
        <f>IF(CupDraw!P77="","",CupDraw!P77)</f>
        <v/>
      </c>
      <c r="J78" s="72" t="str">
        <f>IF(CupDraw!Q77="","",CupDraw!Q77)</f>
        <v/>
      </c>
      <c r="K78" s="81" t="str">
        <f>IF(CupDraw!R77="","",CupDraw!R77)</f>
        <v/>
      </c>
      <c r="L78" s="79"/>
      <c r="M78" s="76"/>
      <c r="N78" s="76"/>
      <c r="O78" s="76"/>
      <c r="P78" s="76"/>
      <c r="Q78" s="76"/>
      <c r="R78" s="79"/>
      <c r="S78" s="76"/>
      <c r="T78" s="76"/>
      <c r="U78" s="76"/>
      <c r="V78" s="76"/>
      <c r="W78" s="76"/>
      <c r="X78" s="80"/>
      <c r="Y78" s="76"/>
      <c r="Z78" s="76"/>
      <c r="AA78" s="76"/>
      <c r="AB78" s="76"/>
      <c r="AC78" s="76"/>
      <c r="AD78" s="76"/>
      <c r="AE78" s="76"/>
      <c r="AF78" s="76"/>
      <c r="AG78" s="76"/>
      <c r="AH78" s="76"/>
      <c r="AI78" s="76"/>
      <c r="AJ78" s="76"/>
      <c r="AK78" s="76"/>
      <c r="AL78" s="76"/>
      <c r="AM78" s="76"/>
      <c r="AN78" s="76"/>
      <c r="AO78" s="76"/>
      <c r="AP78" s="76"/>
      <c r="AQ78" s="76"/>
      <c r="AR78" s="76"/>
      <c r="AS78" s="76"/>
      <c r="AT78" s="76"/>
      <c r="AU78" s="76"/>
      <c r="AV78" s="76"/>
      <c r="AW78" s="76"/>
      <c r="AX78" s="76"/>
      <c r="AY78" s="76"/>
      <c r="AZ78" s="76"/>
      <c r="BA78" s="76"/>
      <c r="BB78" s="76"/>
      <c r="BC78" s="76"/>
      <c r="BD78" s="76"/>
      <c r="BE78" s="76"/>
      <c r="BF78" s="76"/>
    </row>
    <row r="79" spans="2:58">
      <c r="B79" s="67"/>
      <c r="C79" s="68" t="str">
        <f>IF(CupDraw!J80="","",CupDraw!J80)</f>
        <v/>
      </c>
      <c r="D79" s="72" t="str">
        <f>IF(CupDraw!K80="","",CupDraw!K80)</f>
        <v/>
      </c>
      <c r="E79" s="709"/>
      <c r="F79" s="58"/>
      <c r="G79" s="58"/>
      <c r="H79" s="705">
        <f>CupDraw!O78</f>
        <v>0</v>
      </c>
      <c r="I79" s="68" t="str">
        <f>IF(CupDraw!P78="","",CupDraw!P78)</f>
        <v/>
      </c>
      <c r="J79" s="72" t="str">
        <f>IF(CupDraw!Q78="","",CupDraw!Q78)</f>
        <v/>
      </c>
      <c r="K79" s="61" t="str">
        <f>IF(CupDraw!R78="","",CupDraw!R78)</f>
        <v/>
      </c>
      <c r="L79" s="79"/>
      <c r="M79" s="76"/>
      <c r="N79" s="76"/>
      <c r="O79" s="76"/>
      <c r="P79" s="76"/>
      <c r="Q79" s="76"/>
      <c r="R79" s="79"/>
      <c r="S79" s="76"/>
      <c r="T79" s="76"/>
      <c r="U79" s="76"/>
      <c r="V79" s="76"/>
      <c r="W79" s="76"/>
      <c r="X79" s="80"/>
      <c r="Y79" s="76"/>
      <c r="Z79" s="76"/>
      <c r="AA79" s="76"/>
      <c r="AB79" s="76"/>
      <c r="AC79" s="76"/>
      <c r="AD79" s="76"/>
      <c r="AE79" s="76"/>
      <c r="AF79" s="76"/>
      <c r="AG79" s="76"/>
      <c r="AH79" s="76"/>
      <c r="AI79" s="76"/>
      <c r="AJ79" s="76"/>
      <c r="AK79" s="76"/>
      <c r="AL79" s="76"/>
      <c r="AM79" s="76"/>
      <c r="AN79" s="76"/>
      <c r="AO79" s="76"/>
      <c r="AP79" s="76"/>
      <c r="AQ79" s="76"/>
      <c r="AR79" s="76"/>
      <c r="AS79" s="76"/>
      <c r="AT79" s="76"/>
      <c r="AU79" s="76"/>
      <c r="AV79" s="76"/>
      <c r="AW79" s="76"/>
      <c r="AX79" s="76"/>
      <c r="AY79" s="76"/>
      <c r="AZ79" s="76"/>
      <c r="BA79" s="76"/>
      <c r="BB79" s="76"/>
      <c r="BC79" s="76"/>
      <c r="BD79" s="76"/>
      <c r="BE79" s="76"/>
      <c r="BF79" s="76"/>
    </row>
    <row r="80" spans="2:58">
      <c r="B80" s="119"/>
      <c r="C80" s="68" t="str">
        <f>IF(CupDraw!J81="","",CupDraw!J81)</f>
        <v/>
      </c>
      <c r="D80" s="72" t="str">
        <f>IF(CupDraw!K81="","",CupDraw!K81)</f>
        <v/>
      </c>
      <c r="E80" s="708" t="str">
        <f>IF(CupDraw!L81="","",CupDraw!L81)</f>
        <v/>
      </c>
      <c r="F80" s="58"/>
      <c r="G80" s="58"/>
      <c r="H80" s="704" t="str">
        <f>IF(CupDraw!O79="","",CupDraw!O79)</f>
        <v/>
      </c>
      <c r="I80" s="68" t="str">
        <f>IF(CupDraw!P79="","",CupDraw!P79)</f>
        <v/>
      </c>
      <c r="J80" s="72" t="str">
        <f>IF(CupDraw!Q79="","",CupDraw!Q79)</f>
        <v/>
      </c>
      <c r="K80" s="81" t="str">
        <f>IF(CupDraw!R79="","",CupDraw!R79)</f>
        <v/>
      </c>
      <c r="L80" s="79"/>
      <c r="M80" s="76"/>
      <c r="N80" s="76"/>
      <c r="O80" s="76"/>
      <c r="P80" s="76"/>
      <c r="Q80" s="76"/>
      <c r="R80" s="79"/>
      <c r="S80" s="76"/>
      <c r="T80" s="76"/>
      <c r="U80" s="76"/>
      <c r="V80" s="76"/>
      <c r="W80" s="76"/>
      <c r="X80" s="80"/>
      <c r="Y80" s="76"/>
      <c r="Z80" s="76"/>
      <c r="AA80" s="76"/>
      <c r="AB80" s="76"/>
      <c r="AC80" s="76"/>
      <c r="AD80" s="76"/>
      <c r="AE80" s="76"/>
      <c r="AF80" s="76"/>
      <c r="AG80" s="76"/>
      <c r="AH80" s="76"/>
      <c r="AI80" s="76"/>
      <c r="AJ80" s="76"/>
      <c r="AK80" s="76"/>
      <c r="AL80" s="76"/>
      <c r="AM80" s="76"/>
      <c r="AN80" s="76"/>
      <c r="AO80" s="76"/>
      <c r="AP80" s="76"/>
      <c r="AQ80" s="76"/>
      <c r="AR80" s="76"/>
      <c r="AS80" s="76"/>
      <c r="AT80" s="76"/>
      <c r="AU80" s="76"/>
      <c r="AV80" s="76"/>
      <c r="AW80" s="76"/>
      <c r="AX80" s="76"/>
      <c r="AY80" s="76"/>
      <c r="AZ80" s="76"/>
      <c r="BA80" s="76"/>
      <c r="BB80" s="76"/>
      <c r="BC80" s="76"/>
      <c r="BD80" s="76"/>
      <c r="BE80" s="76"/>
      <c r="BF80" s="76"/>
    </row>
    <row r="81" spans="2:58">
      <c r="B81" s="120"/>
      <c r="C81" s="68" t="str">
        <f>IF(CupDraw!J82="","",CupDraw!J82)</f>
        <v/>
      </c>
      <c r="D81" s="72" t="str">
        <f>IF(CupDraw!K82="","",CupDraw!K82)</f>
        <v/>
      </c>
      <c r="E81" s="709"/>
      <c r="F81" s="58"/>
      <c r="G81" s="58"/>
      <c r="H81" s="705">
        <f>CupDraw!O80</f>
        <v>0</v>
      </c>
      <c r="I81" s="68" t="str">
        <f>IF(CupDraw!P80="","",CupDraw!P80)</f>
        <v/>
      </c>
      <c r="J81" s="72" t="str">
        <f>IF(CupDraw!Q80="","",CupDraw!Q80)</f>
        <v/>
      </c>
      <c r="K81" s="61" t="str">
        <f>IF(CupDraw!R80="","",CupDraw!R80)</f>
        <v/>
      </c>
      <c r="L81" s="79"/>
      <c r="M81" s="76"/>
      <c r="N81" s="76"/>
      <c r="O81" s="76"/>
      <c r="P81" s="76"/>
      <c r="Q81" s="76"/>
      <c r="R81" s="79"/>
      <c r="S81" s="76"/>
      <c r="X81" s="80"/>
      <c r="Y81" s="76"/>
      <c r="Z81" s="76"/>
      <c r="AA81" s="76"/>
      <c r="AB81" s="76"/>
      <c r="AC81" s="76"/>
      <c r="AD81" s="76"/>
      <c r="AE81" s="76"/>
      <c r="AF81" s="76"/>
      <c r="AG81" s="76"/>
      <c r="AH81" s="76"/>
      <c r="AI81" s="76"/>
      <c r="AJ81" s="76"/>
      <c r="AK81" s="76"/>
      <c r="AL81" s="76"/>
      <c r="AM81" s="76"/>
      <c r="AN81" s="76"/>
      <c r="AO81" s="76"/>
      <c r="AP81" s="76"/>
      <c r="AQ81" s="76"/>
      <c r="AR81" s="76"/>
      <c r="AS81" s="76"/>
      <c r="AT81" s="76"/>
      <c r="AU81" s="76"/>
      <c r="AV81" s="76"/>
      <c r="AW81" s="76"/>
      <c r="AX81" s="76"/>
      <c r="AY81" s="76"/>
      <c r="AZ81" s="76"/>
      <c r="BA81" s="76"/>
      <c r="BB81" s="76"/>
      <c r="BC81" s="76"/>
      <c r="BD81" s="76"/>
      <c r="BE81" s="76"/>
      <c r="BF81" s="76"/>
    </row>
    <row r="82" spans="2:58">
      <c r="B82" s="82"/>
      <c r="C82" s="68" t="str">
        <f>IF(CupDraw!J83="","",CupDraw!J83)</f>
        <v/>
      </c>
      <c r="D82" s="72" t="str">
        <f>IF(CupDraw!K83="","",CupDraw!K83)</f>
        <v/>
      </c>
      <c r="E82" s="708" t="str">
        <f>IF(CupDraw!L83="","",CupDraw!L83)</f>
        <v/>
      </c>
      <c r="F82" s="58"/>
      <c r="G82" s="58"/>
      <c r="H82" s="704" t="str">
        <f>IF(CupDraw!O81="","",CupDraw!O81)</f>
        <v/>
      </c>
      <c r="I82" s="68" t="str">
        <f>IF(CupDraw!P81="","",CupDraw!P81)</f>
        <v/>
      </c>
      <c r="J82" s="72" t="str">
        <f>IF(CupDraw!Q81="","",CupDraw!Q81)</f>
        <v/>
      </c>
      <c r="K82" s="81" t="str">
        <f>IF(CupDraw!R81="","",CupDraw!R81)</f>
        <v/>
      </c>
      <c r="L82" s="79"/>
      <c r="M82" s="76"/>
      <c r="N82" s="76"/>
      <c r="O82" s="76"/>
      <c r="P82" s="76"/>
      <c r="Q82" s="76"/>
      <c r="R82" s="79"/>
      <c r="S82" s="76"/>
      <c r="X82" s="78"/>
      <c r="Y82" s="76"/>
      <c r="Z82" s="76"/>
      <c r="AA82" s="76"/>
      <c r="AB82" s="76"/>
      <c r="AC82" s="76"/>
      <c r="AD82" s="76"/>
      <c r="AE82" s="76"/>
      <c r="AF82" s="76"/>
      <c r="AG82" s="76"/>
      <c r="AH82" s="76"/>
      <c r="AI82" s="76"/>
      <c r="AJ82" s="76"/>
      <c r="AK82" s="76"/>
      <c r="AL82" s="76"/>
      <c r="AM82" s="76"/>
      <c r="AN82" s="76"/>
      <c r="AO82" s="76"/>
      <c r="AP82" s="76"/>
      <c r="AQ82" s="76"/>
      <c r="AR82" s="76"/>
      <c r="AS82" s="76"/>
      <c r="AT82" s="76"/>
      <c r="AU82" s="76"/>
      <c r="AV82" s="76"/>
      <c r="AW82" s="76"/>
      <c r="AX82" s="76"/>
      <c r="AY82" s="76"/>
      <c r="AZ82" s="76"/>
      <c r="BA82" s="76"/>
      <c r="BB82" s="76"/>
      <c r="BC82" s="76"/>
      <c r="BD82" s="76"/>
      <c r="BE82" s="76"/>
      <c r="BF82" s="76"/>
    </row>
    <row r="83" spans="2:58">
      <c r="B83" s="83"/>
      <c r="C83" s="68" t="str">
        <f>IF(CupDraw!J84="","",CupDraw!J84)</f>
        <v/>
      </c>
      <c r="D83" s="72" t="str">
        <f>IF(CupDraw!K84="","",CupDraw!K84)</f>
        <v/>
      </c>
      <c r="E83" s="709" t="str">
        <f>IF(CupDraw!L84="","",CupDraw!L84)</f>
        <v/>
      </c>
      <c r="F83" s="76"/>
      <c r="G83" s="76"/>
      <c r="H83" s="705">
        <f>CupDraw!O82</f>
        <v>0</v>
      </c>
      <c r="I83" s="68" t="str">
        <f>IF(CupDraw!P82="","",CupDraw!P82)</f>
        <v/>
      </c>
      <c r="J83" s="72" t="str">
        <f>IF(CupDraw!Q82="","",CupDraw!Q82)</f>
        <v/>
      </c>
      <c r="K83" s="61" t="str">
        <f>IF(CupDraw!R82="","",CupDraw!R82)</f>
        <v/>
      </c>
      <c r="L83" s="80"/>
      <c r="M83" s="76"/>
      <c r="N83" s="76"/>
      <c r="O83" s="76"/>
      <c r="P83" s="76"/>
      <c r="Q83" s="76"/>
      <c r="R83" s="80"/>
      <c r="S83" s="76"/>
      <c r="X83" s="78"/>
      <c r="Y83" s="76"/>
      <c r="Z83" s="76"/>
      <c r="AA83" s="76"/>
      <c r="AB83" s="76"/>
      <c r="AC83" s="76"/>
      <c r="AD83" s="76"/>
      <c r="AE83" s="76"/>
      <c r="AF83" s="76"/>
      <c r="AG83" s="76"/>
      <c r="AH83" s="76"/>
      <c r="AI83" s="76"/>
      <c r="AJ83" s="76"/>
      <c r="AK83" s="76"/>
      <c r="AL83" s="76"/>
      <c r="AM83" s="76"/>
      <c r="AN83" s="76"/>
      <c r="AO83" s="76"/>
      <c r="AP83" s="76"/>
      <c r="AQ83" s="76"/>
      <c r="AR83" s="76"/>
      <c r="AS83" s="76"/>
      <c r="AT83" s="76"/>
      <c r="AU83" s="76"/>
      <c r="AV83" s="76"/>
      <c r="AW83" s="76"/>
      <c r="AX83" s="76"/>
      <c r="AY83" s="76"/>
      <c r="AZ83" s="76"/>
      <c r="BA83" s="76"/>
      <c r="BB83" s="76"/>
      <c r="BC83" s="76"/>
      <c r="BD83" s="76"/>
      <c r="BE83" s="76"/>
      <c r="BF83" s="76"/>
    </row>
    <row r="84" spans="2:58">
      <c r="B84" s="119"/>
      <c r="C84" s="68" t="str">
        <f>IF(CupDraw!J85="","",CupDraw!J85)</f>
        <v/>
      </c>
      <c r="D84" s="72" t="str">
        <f>IF(CupDraw!K85="","",CupDraw!K85)</f>
        <v/>
      </c>
      <c r="E84" s="708" t="str">
        <f>IF(CupDraw!L85="","",CupDraw!L85)</f>
        <v/>
      </c>
      <c r="F84" s="76"/>
      <c r="G84" s="76"/>
      <c r="H84" s="704" t="str">
        <f>IF(CupDraw!O83="","",CupDraw!O83)</f>
        <v/>
      </c>
      <c r="I84" s="68" t="str">
        <f>IF(CupDraw!P83="","",CupDraw!P83)</f>
        <v/>
      </c>
      <c r="J84" s="72" t="str">
        <f>IF(CupDraw!Q83="","",CupDraw!Q83)</f>
        <v/>
      </c>
      <c r="K84" s="81" t="str">
        <f>IF(CupDraw!R83="","",CupDraw!R83)</f>
        <v/>
      </c>
      <c r="L84" s="80"/>
      <c r="M84" s="76"/>
      <c r="N84" s="76"/>
      <c r="O84" s="76"/>
      <c r="P84" s="76"/>
      <c r="Q84" s="76"/>
      <c r="R84" s="80"/>
      <c r="S84" s="76"/>
      <c r="X84" s="1"/>
      <c r="Y84" s="76"/>
      <c r="Z84" s="76"/>
      <c r="AA84" s="76"/>
      <c r="AB84" s="76"/>
      <c r="AC84" s="76"/>
      <c r="AD84" s="76"/>
      <c r="AE84" s="76"/>
      <c r="AF84" s="76"/>
      <c r="AG84" s="76"/>
      <c r="AH84" s="76"/>
      <c r="AI84" s="76"/>
      <c r="AJ84" s="76"/>
      <c r="AK84" s="76"/>
      <c r="AL84" s="76"/>
      <c r="AM84" s="76"/>
      <c r="AN84" s="76"/>
      <c r="AO84" s="76"/>
      <c r="AP84" s="76"/>
      <c r="AQ84" s="76"/>
      <c r="AR84" s="76"/>
      <c r="AS84" s="76"/>
      <c r="AT84" s="76"/>
      <c r="AU84" s="76"/>
      <c r="AV84" s="76"/>
      <c r="AW84" s="76"/>
      <c r="AX84" s="76"/>
      <c r="AY84" s="76"/>
      <c r="AZ84" s="76"/>
      <c r="BA84" s="76"/>
      <c r="BB84" s="76"/>
      <c r="BC84" s="76"/>
      <c r="BD84" s="76"/>
      <c r="BE84" s="76"/>
      <c r="BF84" s="76"/>
    </row>
    <row r="85" spans="2:58">
      <c r="B85" s="120"/>
      <c r="C85" s="68" t="str">
        <f>IF(CupDraw!J86="","",CupDraw!J86)</f>
        <v/>
      </c>
      <c r="D85" s="72" t="str">
        <f>IF(CupDraw!K86="","",CupDraw!K86)</f>
        <v/>
      </c>
      <c r="E85" s="709" t="str">
        <f>IF(CupDraw!L86="","",CupDraw!L86)</f>
        <v/>
      </c>
      <c r="F85" s="76"/>
      <c r="G85" s="76"/>
      <c r="H85" s="705">
        <f>CupDraw!O84</f>
        <v>0</v>
      </c>
      <c r="I85" s="68" t="str">
        <f>IF(CupDraw!P84="","",CupDraw!P84)</f>
        <v/>
      </c>
      <c r="J85" s="72" t="str">
        <f>IF(CupDraw!Q84="","",CupDraw!Q84)</f>
        <v/>
      </c>
      <c r="K85" s="61" t="str">
        <f>IF(CupDraw!R84="","",CupDraw!R84)</f>
        <v/>
      </c>
      <c r="L85" s="80"/>
      <c r="M85" s="76"/>
      <c r="N85" s="76"/>
      <c r="O85" s="76"/>
      <c r="P85" s="76"/>
      <c r="Q85" s="76"/>
      <c r="R85" s="80"/>
      <c r="S85" s="76"/>
      <c r="X85" s="79"/>
      <c r="Y85" s="76"/>
      <c r="Z85" s="76"/>
      <c r="AA85" s="76"/>
      <c r="AB85" s="76"/>
      <c r="AC85" s="76"/>
      <c r="AD85" s="76"/>
      <c r="AE85" s="76"/>
      <c r="AF85" s="76"/>
      <c r="AG85" s="76"/>
      <c r="AH85" s="76"/>
      <c r="AI85" s="76"/>
      <c r="AJ85" s="76"/>
      <c r="AK85" s="76"/>
      <c r="AL85" s="76"/>
      <c r="AM85" s="76"/>
      <c r="AN85" s="76"/>
      <c r="AO85" s="76"/>
      <c r="AP85" s="76"/>
      <c r="AQ85" s="76"/>
      <c r="AR85" s="76"/>
      <c r="AS85" s="76"/>
      <c r="AT85" s="76"/>
      <c r="AU85" s="76"/>
      <c r="AV85" s="76"/>
      <c r="AW85" s="76"/>
      <c r="AX85" s="76"/>
      <c r="AY85" s="76"/>
      <c r="AZ85" s="76"/>
      <c r="BA85" s="76"/>
      <c r="BB85" s="76"/>
      <c r="BC85" s="76"/>
      <c r="BD85" s="76"/>
      <c r="BE85" s="76"/>
      <c r="BF85" s="76"/>
    </row>
    <row r="86" spans="2:58">
      <c r="B86" s="82"/>
      <c r="C86" s="68" t="str">
        <f>IF(CupDraw!J87="","",CupDraw!J87)</f>
        <v/>
      </c>
      <c r="D86" s="72" t="str">
        <f>IF(CupDraw!K87="","",CupDraw!K87)</f>
        <v/>
      </c>
      <c r="E86" s="708" t="str">
        <f>IF(CupDraw!L87="","",CupDraw!L87)</f>
        <v/>
      </c>
      <c r="F86" s="76"/>
      <c r="G86" s="76"/>
      <c r="H86" s="704" t="str">
        <f>IF(CupDraw!O85="","",CupDraw!O85)</f>
        <v/>
      </c>
      <c r="I86" s="68" t="str">
        <f>IF(CupDraw!P85="","",CupDraw!P85)</f>
        <v/>
      </c>
      <c r="J86" s="72" t="str">
        <f>IF(CupDraw!Q85="","",CupDraw!Q85)</f>
        <v/>
      </c>
      <c r="K86" s="81" t="str">
        <f>IF(CupDraw!R85="","",CupDraw!R85)</f>
        <v/>
      </c>
      <c r="L86" s="80"/>
      <c r="M86" s="76"/>
      <c r="N86" s="76"/>
      <c r="O86" s="76"/>
      <c r="P86" s="76"/>
      <c r="Q86" s="76"/>
      <c r="R86" s="80"/>
      <c r="S86" s="76"/>
      <c r="X86" s="79"/>
      <c r="Y86" s="76"/>
      <c r="Z86" s="76"/>
      <c r="AA86" s="76"/>
      <c r="AB86" s="76"/>
      <c r="AC86" s="76"/>
      <c r="AD86" s="76"/>
      <c r="AE86" s="76"/>
      <c r="AF86" s="76"/>
      <c r="AG86" s="76"/>
      <c r="AH86" s="76"/>
      <c r="AI86" s="76"/>
      <c r="AJ86" s="76"/>
      <c r="AK86" s="76"/>
      <c r="AL86" s="76"/>
      <c r="AM86" s="76"/>
      <c r="AN86" s="76"/>
      <c r="AO86" s="76"/>
      <c r="AP86" s="76"/>
      <c r="AQ86" s="76"/>
      <c r="AR86" s="76"/>
      <c r="AS86" s="76"/>
      <c r="AT86" s="76"/>
      <c r="AU86" s="76"/>
      <c r="AV86" s="76"/>
      <c r="AW86" s="76"/>
      <c r="AX86" s="76"/>
      <c r="AY86" s="76"/>
      <c r="AZ86" s="76"/>
      <c r="BA86" s="76"/>
      <c r="BB86" s="76"/>
      <c r="BC86" s="76"/>
      <c r="BD86" s="76"/>
      <c r="BE86" s="76"/>
      <c r="BF86" s="76"/>
    </row>
    <row r="87" spans="2:58">
      <c r="B87" s="83"/>
      <c r="C87" s="68" t="str">
        <f>IF(CupDraw!J88="","",CupDraw!J88)</f>
        <v/>
      </c>
      <c r="D87" s="72" t="str">
        <f>IF(CupDraw!K88="","",CupDraw!K88)</f>
        <v/>
      </c>
      <c r="E87" s="709" t="str">
        <f>IF(CupDraw!L88="","",CupDraw!L88)</f>
        <v/>
      </c>
      <c r="F87" s="76"/>
      <c r="G87" s="76"/>
      <c r="H87" s="705">
        <f>CupDraw!O86</f>
        <v>0</v>
      </c>
      <c r="I87" s="68" t="str">
        <f>IF(CupDraw!P86="","",CupDraw!P86)</f>
        <v/>
      </c>
      <c r="J87" s="72" t="str">
        <f>IF(CupDraw!Q86="","",CupDraw!Q86)</f>
        <v/>
      </c>
      <c r="K87" s="61" t="str">
        <f>IF(CupDraw!R86="","",CupDraw!R86)</f>
        <v/>
      </c>
      <c r="L87" s="80"/>
      <c r="M87" s="76"/>
      <c r="N87" s="76"/>
      <c r="O87" s="76"/>
      <c r="P87" s="76"/>
      <c r="Q87" s="76"/>
      <c r="R87" s="80"/>
      <c r="S87" s="76"/>
      <c r="X87" s="79"/>
      <c r="Y87" s="76"/>
      <c r="Z87" s="76"/>
      <c r="AA87" s="76"/>
      <c r="AB87" s="76"/>
      <c r="AC87" s="76"/>
      <c r="AD87" s="76"/>
      <c r="AE87" s="76"/>
      <c r="AF87" s="76"/>
      <c r="AG87" s="76"/>
      <c r="AH87" s="76"/>
      <c r="AI87" s="76"/>
      <c r="AJ87" s="76"/>
      <c r="AK87" s="76"/>
      <c r="AL87" s="76"/>
      <c r="AM87" s="76"/>
      <c r="AN87" s="76"/>
      <c r="AO87" s="76"/>
      <c r="AP87" s="76"/>
      <c r="AQ87" s="76"/>
      <c r="AR87" s="76"/>
      <c r="AS87" s="76"/>
      <c r="AT87" s="76"/>
      <c r="AU87" s="76"/>
      <c r="AV87" s="76"/>
      <c r="AW87" s="76"/>
      <c r="AX87" s="76"/>
      <c r="AY87" s="76"/>
      <c r="AZ87" s="76"/>
      <c r="BA87" s="76"/>
      <c r="BB87" s="76"/>
      <c r="BC87" s="76"/>
      <c r="BD87" s="76"/>
      <c r="BE87" s="76"/>
      <c r="BF87" s="76"/>
    </row>
    <row r="88" spans="2:58">
      <c r="B88" s="704"/>
      <c r="C88" s="68" t="str">
        <f>IF(CupDraw!J89="","",CupDraw!J89)</f>
        <v/>
      </c>
      <c r="D88" s="72" t="str">
        <f>IF(CupDraw!K89="","",CupDraw!K89)</f>
        <v/>
      </c>
      <c r="E88" s="708" t="str">
        <f>IF(CupDraw!L89="","",CupDraw!L89)</f>
        <v/>
      </c>
      <c r="F88" s="76"/>
      <c r="G88" s="76"/>
      <c r="H88" s="704" t="str">
        <f>IF(CupDraw!O87="","",CupDraw!O87)</f>
        <v/>
      </c>
      <c r="I88" s="68" t="str">
        <f>IF(CupDraw!P87="","",CupDraw!P87)</f>
        <v/>
      </c>
      <c r="J88" s="72" t="str">
        <f>IF(CupDraw!Q87="","",CupDraw!Q87)</f>
        <v/>
      </c>
      <c r="K88" s="81" t="str">
        <f>IF(CupDraw!R87="","",CupDraw!R87)</f>
        <v/>
      </c>
      <c r="L88" s="80"/>
      <c r="M88" s="76"/>
      <c r="N88" s="76"/>
      <c r="O88" s="76"/>
      <c r="P88" s="76"/>
      <c r="Q88" s="76"/>
      <c r="R88" s="80"/>
      <c r="S88" s="76"/>
      <c r="X88" s="79"/>
      <c r="Y88" s="76"/>
      <c r="Z88" s="76"/>
      <c r="AA88" s="76"/>
      <c r="AB88" s="76"/>
      <c r="AC88" s="76"/>
      <c r="AD88" s="76"/>
      <c r="AE88" s="76"/>
      <c r="AF88" s="76"/>
      <c r="AG88" s="76"/>
      <c r="AH88" s="76"/>
      <c r="AI88" s="76"/>
      <c r="AJ88" s="76"/>
      <c r="AK88" s="76"/>
      <c r="AL88" s="76"/>
      <c r="AM88" s="76"/>
      <c r="AN88" s="76"/>
      <c r="AO88" s="76"/>
      <c r="AP88" s="76"/>
      <c r="AQ88" s="76"/>
      <c r="AR88" s="76"/>
      <c r="AS88" s="76"/>
      <c r="AT88" s="76"/>
      <c r="AU88" s="76"/>
      <c r="AV88" s="76"/>
      <c r="AW88" s="76"/>
      <c r="AX88" s="76"/>
      <c r="AY88" s="76"/>
      <c r="AZ88" s="76"/>
      <c r="BA88" s="76"/>
      <c r="BB88" s="76"/>
      <c r="BC88" s="76"/>
      <c r="BD88" s="76"/>
      <c r="BE88" s="76"/>
      <c r="BF88" s="76"/>
    </row>
    <row r="89" spans="2:58">
      <c r="B89" s="705"/>
      <c r="C89" s="68" t="str">
        <f>IF(CupDraw!J90="","",CupDraw!J90)</f>
        <v/>
      </c>
      <c r="D89" s="72" t="str">
        <f>IF(CupDraw!K90="","",CupDraw!K90)</f>
        <v/>
      </c>
      <c r="E89" s="709" t="str">
        <f>IF(CupDraw!L90="","",CupDraw!L90)</f>
        <v/>
      </c>
      <c r="F89" s="76"/>
      <c r="G89" s="76"/>
      <c r="H89" s="705">
        <f>CupDraw!O88</f>
        <v>0</v>
      </c>
      <c r="I89" s="68" t="str">
        <f>IF(CupDraw!P88="","",CupDraw!P88)</f>
        <v/>
      </c>
      <c r="J89" s="72" t="str">
        <f>IF(CupDraw!Q88="","",CupDraw!Q88)</f>
        <v/>
      </c>
      <c r="K89" s="61" t="str">
        <f>IF(CupDraw!R88="","",CupDraw!R88)</f>
        <v/>
      </c>
      <c r="L89" s="80"/>
      <c r="M89" s="76"/>
      <c r="N89" s="76"/>
      <c r="O89" s="76"/>
      <c r="P89" s="76"/>
      <c r="Q89" s="76"/>
      <c r="R89" s="80"/>
      <c r="S89" s="76"/>
      <c r="X89" s="79"/>
      <c r="Y89" s="76"/>
      <c r="Z89" s="76"/>
      <c r="AA89" s="76"/>
      <c r="AB89" s="76"/>
      <c r="AC89" s="76"/>
      <c r="AD89" s="76"/>
      <c r="AE89" s="76"/>
      <c r="AF89" s="76"/>
      <c r="AG89" s="76"/>
      <c r="AH89" s="76"/>
      <c r="AI89" s="76"/>
      <c r="AJ89" s="76"/>
      <c r="AK89" s="76"/>
      <c r="AL89" s="76"/>
      <c r="AM89" s="76"/>
      <c r="AN89" s="76"/>
      <c r="AO89" s="76"/>
      <c r="AP89" s="76"/>
      <c r="AQ89" s="76"/>
      <c r="AR89" s="76"/>
      <c r="AS89" s="76"/>
      <c r="AT89" s="76"/>
      <c r="AU89" s="76"/>
      <c r="AV89" s="76"/>
      <c r="AW89" s="76"/>
      <c r="AX89" s="76"/>
      <c r="AY89" s="76"/>
      <c r="AZ89" s="76"/>
      <c r="BA89" s="76"/>
      <c r="BB89" s="76"/>
      <c r="BC89" s="76"/>
      <c r="BD89" s="76"/>
      <c r="BE89" s="76"/>
      <c r="BF89" s="76"/>
    </row>
    <row r="90" spans="2:58">
      <c r="B90" s="82"/>
      <c r="C90" s="68" t="str">
        <f>IF(CupDraw!J91="","",CupDraw!J91)</f>
        <v/>
      </c>
      <c r="D90" s="72" t="str">
        <f>IF(CupDraw!K91="","",CupDraw!K91)</f>
        <v/>
      </c>
      <c r="E90" s="708" t="str">
        <f>IF(CupDraw!L91="","",CupDraw!L91)</f>
        <v/>
      </c>
      <c r="F90" s="76"/>
      <c r="G90" s="76"/>
      <c r="H90" s="704" t="str">
        <f>IF(CupDraw!O89="","",CupDraw!O89)</f>
        <v/>
      </c>
      <c r="I90" s="68" t="str">
        <f>IF(CupDraw!P89="","",CupDraw!P89)</f>
        <v/>
      </c>
      <c r="J90" s="72" t="str">
        <f>IF(CupDraw!Q89="","",CupDraw!Q89)</f>
        <v/>
      </c>
      <c r="K90" s="81" t="str">
        <f>IF(CupDraw!R89="","",CupDraw!R89)</f>
        <v/>
      </c>
      <c r="L90" s="80"/>
      <c r="M90" s="76"/>
      <c r="N90" s="76"/>
      <c r="O90" s="76"/>
      <c r="P90" s="76"/>
      <c r="Q90" s="76"/>
      <c r="R90" s="80"/>
      <c r="S90" s="76"/>
      <c r="X90" s="79"/>
      <c r="Y90" s="76"/>
      <c r="Z90" s="76"/>
      <c r="AA90" s="76"/>
      <c r="AB90" s="76"/>
      <c r="AC90" s="76"/>
      <c r="AD90" s="76"/>
      <c r="AE90" s="76"/>
      <c r="AF90" s="76"/>
      <c r="AG90" s="76"/>
      <c r="AH90" s="76"/>
      <c r="AI90" s="76"/>
      <c r="AJ90" s="76"/>
      <c r="AK90" s="76"/>
      <c r="AL90" s="76"/>
      <c r="AM90" s="76"/>
      <c r="AN90" s="76"/>
      <c r="AO90" s="76"/>
      <c r="AP90" s="76"/>
      <c r="AQ90" s="76"/>
      <c r="AR90" s="76"/>
      <c r="AS90" s="76"/>
      <c r="AT90" s="76"/>
      <c r="AU90" s="76"/>
      <c r="AV90" s="76"/>
      <c r="AW90" s="76"/>
      <c r="AX90" s="76"/>
      <c r="AY90" s="76"/>
      <c r="AZ90" s="76"/>
      <c r="BA90" s="76"/>
      <c r="BB90" s="76"/>
      <c r="BC90" s="76"/>
      <c r="BD90" s="76"/>
      <c r="BE90" s="76"/>
      <c r="BF90" s="76"/>
    </row>
    <row r="91" spans="2:58">
      <c r="B91" s="83"/>
      <c r="C91" s="68" t="str">
        <f>IF(CupDraw!J92="","",CupDraw!J92)</f>
        <v/>
      </c>
      <c r="D91" s="72" t="str">
        <f>IF(CupDraw!K92="","",CupDraw!K92)</f>
        <v/>
      </c>
      <c r="E91" s="709" t="str">
        <f>IF(CupDraw!L92="","",CupDraw!L92)</f>
        <v/>
      </c>
      <c r="F91" s="76"/>
      <c r="G91" s="76"/>
      <c r="H91" s="705">
        <f>CupDraw!O90</f>
        <v>0</v>
      </c>
      <c r="I91" s="68" t="str">
        <f>IF(CupDraw!P90="","",CupDraw!P90)</f>
        <v/>
      </c>
      <c r="J91" s="72" t="str">
        <f>IF(CupDraw!Q90="","",CupDraw!Q90)</f>
        <v/>
      </c>
      <c r="K91" s="61" t="str">
        <f>IF(CupDraw!R90="","",CupDraw!R90)</f>
        <v/>
      </c>
      <c r="L91" s="80"/>
      <c r="M91" s="76"/>
      <c r="N91" s="76"/>
      <c r="O91" s="76"/>
      <c r="P91" s="76"/>
      <c r="Q91" s="76"/>
      <c r="R91" s="80"/>
      <c r="S91" s="76"/>
      <c r="T91" s="76"/>
      <c r="U91" s="76"/>
      <c r="V91" s="76"/>
      <c r="W91" s="76"/>
      <c r="X91" s="80"/>
      <c r="Y91" s="76"/>
      <c r="Z91" s="76"/>
      <c r="AA91" s="76"/>
      <c r="AB91" s="76"/>
      <c r="AC91" s="76"/>
      <c r="AD91" s="76"/>
      <c r="AE91" s="76"/>
      <c r="AF91" s="76"/>
      <c r="AG91" s="76"/>
      <c r="AH91" s="76"/>
      <c r="AI91" s="76"/>
      <c r="AJ91" s="76"/>
      <c r="AK91" s="76"/>
      <c r="AL91" s="76"/>
      <c r="AM91" s="76"/>
      <c r="AN91" s="76"/>
      <c r="AO91" s="76"/>
      <c r="AP91" s="76"/>
      <c r="AQ91" s="76"/>
      <c r="AR91" s="76"/>
      <c r="AS91" s="76"/>
      <c r="AT91" s="76"/>
      <c r="AU91" s="76"/>
      <c r="AV91" s="76"/>
      <c r="AW91" s="76"/>
      <c r="AX91" s="76"/>
      <c r="AY91" s="76"/>
      <c r="AZ91" s="76"/>
      <c r="BA91" s="76"/>
      <c r="BB91" s="76"/>
      <c r="BC91" s="76"/>
      <c r="BD91" s="76"/>
      <c r="BE91" s="76"/>
      <c r="BF91" s="76"/>
    </row>
    <row r="92" spans="2:58">
      <c r="B92" s="704"/>
      <c r="C92" s="68" t="str">
        <f>IF(CupDraw!J93="","",CupDraw!J93)</f>
        <v/>
      </c>
      <c r="D92" s="72" t="str">
        <f>IF(CupDraw!K93="","",CupDraw!K93)</f>
        <v/>
      </c>
      <c r="E92" s="708" t="str">
        <f>IF(CupDraw!L93="","",CupDraw!L93)</f>
        <v/>
      </c>
      <c r="F92" s="76"/>
      <c r="G92" s="76"/>
      <c r="H92" s="704" t="str">
        <f>IF(CupDraw!O91="","",CupDraw!O91)</f>
        <v/>
      </c>
      <c r="I92" s="68" t="str">
        <f>IF(CupDraw!P91="","",CupDraw!P91)</f>
        <v/>
      </c>
      <c r="J92" s="72" t="str">
        <f>IF(CupDraw!Q91="","",CupDraw!Q91)</f>
        <v/>
      </c>
      <c r="K92" s="81" t="str">
        <f>IF(CupDraw!R91="","",CupDraw!R91)</f>
        <v/>
      </c>
      <c r="L92" s="80"/>
      <c r="M92" s="76"/>
      <c r="N92" s="76"/>
      <c r="O92" s="76"/>
      <c r="P92" s="76"/>
      <c r="Q92" s="76"/>
      <c r="R92" s="80"/>
      <c r="S92" s="76"/>
      <c r="T92" s="76"/>
      <c r="U92" s="76"/>
      <c r="V92" s="76"/>
      <c r="W92" s="76"/>
      <c r="X92" s="80"/>
      <c r="Y92" s="76"/>
      <c r="Z92" s="76"/>
      <c r="AA92" s="76"/>
      <c r="AB92" s="76"/>
      <c r="AC92" s="76"/>
      <c r="AD92" s="76"/>
      <c r="AE92" s="76"/>
      <c r="AF92" s="76"/>
      <c r="AG92" s="76"/>
      <c r="AH92" s="76"/>
      <c r="AI92" s="76"/>
      <c r="AJ92" s="76"/>
      <c r="AK92" s="76"/>
      <c r="AL92" s="76"/>
      <c r="AM92" s="76"/>
      <c r="AN92" s="76"/>
      <c r="AO92" s="76"/>
      <c r="AP92" s="76"/>
      <c r="AQ92" s="76"/>
      <c r="AR92" s="76"/>
      <c r="AS92" s="76"/>
      <c r="AT92" s="76"/>
      <c r="AU92" s="76"/>
      <c r="AV92" s="76"/>
      <c r="AW92" s="76"/>
      <c r="AX92" s="76"/>
      <c r="AY92" s="76"/>
      <c r="AZ92" s="76"/>
      <c r="BA92" s="76"/>
      <c r="BB92" s="76"/>
      <c r="BC92" s="76"/>
      <c r="BD92" s="76"/>
      <c r="BE92" s="76"/>
      <c r="BF92" s="76"/>
    </row>
    <row r="93" spans="2:58">
      <c r="B93" s="705"/>
      <c r="C93" s="68" t="str">
        <f>IF(CupDraw!J94="","",CupDraw!J94)</f>
        <v/>
      </c>
      <c r="D93" s="72" t="str">
        <f>IF(CupDraw!K94="","",CupDraw!K94)</f>
        <v/>
      </c>
      <c r="E93" s="709" t="str">
        <f>IF(CupDraw!L94="","",CupDraw!L94)</f>
        <v/>
      </c>
      <c r="F93" s="76"/>
      <c r="G93" s="76"/>
      <c r="H93" s="705">
        <f>CupDraw!O92</f>
        <v>0</v>
      </c>
      <c r="I93" s="68" t="str">
        <f>IF(CupDraw!P92="","",CupDraw!P92)</f>
        <v/>
      </c>
      <c r="J93" s="72" t="str">
        <f>IF(CupDraw!Q92="","",CupDraw!Q92)</f>
        <v/>
      </c>
      <c r="K93" s="61" t="str">
        <f>IF(CupDraw!R92="","",CupDraw!R92)</f>
        <v/>
      </c>
      <c r="L93" s="80"/>
      <c r="M93" s="76"/>
      <c r="N93" s="76"/>
      <c r="O93" s="76"/>
      <c r="P93" s="76"/>
      <c r="Q93" s="76"/>
      <c r="R93" s="80"/>
      <c r="S93" s="76"/>
      <c r="T93" s="76"/>
      <c r="U93" s="76"/>
      <c r="V93" s="76"/>
      <c r="W93" s="76"/>
      <c r="X93" s="80"/>
      <c r="Y93" s="76"/>
      <c r="Z93" s="76"/>
      <c r="AA93" s="76"/>
      <c r="AB93" s="76"/>
      <c r="AC93" s="76"/>
      <c r="AD93" s="76"/>
      <c r="AE93" s="76"/>
      <c r="AF93" s="76"/>
      <c r="AG93" s="76"/>
      <c r="AH93" s="76"/>
      <c r="AI93" s="76"/>
      <c r="AJ93" s="76"/>
      <c r="AK93" s="76"/>
      <c r="AL93" s="76"/>
      <c r="AM93" s="76"/>
      <c r="AN93" s="76"/>
      <c r="AO93" s="76"/>
      <c r="AP93" s="76"/>
      <c r="AQ93" s="76"/>
      <c r="AR93" s="76"/>
      <c r="AS93" s="76"/>
      <c r="AT93" s="76"/>
      <c r="AU93" s="76"/>
      <c r="AV93" s="76"/>
      <c r="AW93" s="76"/>
      <c r="AX93" s="76"/>
      <c r="AY93" s="76"/>
      <c r="AZ93" s="76"/>
      <c r="BA93" s="76"/>
      <c r="BB93" s="76"/>
      <c r="BC93" s="76"/>
      <c r="BD93" s="76"/>
      <c r="BE93" s="76"/>
      <c r="BF93" s="76"/>
    </row>
    <row r="94" spans="2:58">
      <c r="B94" s="121"/>
      <c r="C94" s="204" t="str">
        <f>IF(CupDraw!J95="","",CupDraw!J95)</f>
        <v/>
      </c>
      <c r="D94" s="58"/>
      <c r="E94" s="58"/>
      <c r="F94" s="76"/>
      <c r="G94" s="76"/>
      <c r="H94" s="77"/>
      <c r="I94" s="76"/>
      <c r="J94" s="76"/>
      <c r="K94" s="76"/>
      <c r="L94" s="80"/>
      <c r="M94" s="76"/>
      <c r="N94" s="76"/>
      <c r="O94" s="76"/>
      <c r="P94" s="76"/>
      <c r="Q94" s="76"/>
      <c r="R94" s="80"/>
      <c r="S94" s="76"/>
      <c r="T94" s="76"/>
      <c r="U94" s="76"/>
      <c r="V94" s="76"/>
      <c r="W94" s="76"/>
      <c r="X94" s="80"/>
      <c r="Y94" s="76"/>
      <c r="Z94" s="76"/>
      <c r="AA94" s="76"/>
      <c r="AB94" s="76"/>
      <c r="AC94" s="76"/>
      <c r="AD94" s="76"/>
      <c r="AE94" s="76"/>
      <c r="AF94" s="76"/>
      <c r="AG94" s="76"/>
      <c r="AH94" s="76"/>
      <c r="AI94" s="76"/>
      <c r="AJ94" s="76"/>
      <c r="AK94" s="76"/>
      <c r="AL94" s="76"/>
      <c r="AM94" s="76"/>
      <c r="AN94" s="76"/>
      <c r="AO94" s="76"/>
      <c r="AP94" s="76"/>
      <c r="AQ94" s="76"/>
      <c r="AR94" s="76"/>
      <c r="AS94" s="76"/>
      <c r="AT94" s="76"/>
      <c r="AU94" s="76"/>
      <c r="AV94" s="76"/>
      <c r="AW94" s="76"/>
      <c r="AX94" s="76"/>
      <c r="AY94" s="76"/>
      <c r="AZ94" s="76"/>
      <c r="BA94" s="76"/>
      <c r="BB94" s="76"/>
      <c r="BC94" s="76"/>
      <c r="BD94" s="76"/>
      <c r="BE94" s="76"/>
      <c r="BF94" s="76"/>
    </row>
    <row r="95" spans="2:58">
      <c r="B95" s="59"/>
      <c r="C95" s="58"/>
      <c r="D95" s="58"/>
      <c r="E95" s="58"/>
      <c r="F95" s="76"/>
      <c r="G95" s="76"/>
      <c r="H95" s="77"/>
      <c r="I95" s="76"/>
      <c r="J95" s="76"/>
      <c r="K95" s="76"/>
      <c r="L95" s="80"/>
      <c r="M95" s="76"/>
      <c r="N95" s="76"/>
      <c r="O95" s="76"/>
      <c r="P95" s="76"/>
      <c r="Q95" s="76"/>
      <c r="R95" s="80"/>
      <c r="S95" s="76"/>
      <c r="T95" s="76"/>
      <c r="U95" s="76"/>
      <c r="V95" s="76"/>
      <c r="W95" s="76"/>
      <c r="X95" s="80"/>
      <c r="Y95" s="76"/>
      <c r="Z95" s="76"/>
      <c r="AA95" s="76"/>
      <c r="AB95" s="76"/>
      <c r="AC95" s="76"/>
      <c r="AD95" s="76"/>
      <c r="AE95" s="76"/>
      <c r="AF95" s="76"/>
      <c r="AG95" s="76"/>
      <c r="AH95" s="76"/>
      <c r="AI95" s="76"/>
      <c r="AJ95" s="76"/>
      <c r="AK95" s="76"/>
      <c r="AL95" s="76"/>
      <c r="AM95" s="76"/>
      <c r="AN95" s="76"/>
      <c r="AO95" s="76"/>
      <c r="AP95" s="76"/>
      <c r="AQ95" s="76"/>
      <c r="AR95" s="76"/>
      <c r="AS95" s="76"/>
      <c r="AT95" s="76"/>
      <c r="AU95" s="76"/>
      <c r="AV95" s="76"/>
      <c r="AW95" s="76"/>
      <c r="AX95" s="76"/>
      <c r="AY95" s="76"/>
      <c r="AZ95" s="76"/>
      <c r="BA95" s="76"/>
      <c r="BB95" s="76"/>
      <c r="BC95" s="76"/>
      <c r="BD95" s="76"/>
      <c r="BE95" s="76"/>
      <c r="BF95" s="76"/>
    </row>
    <row r="96" spans="2:58">
      <c r="B96" s="59"/>
      <c r="C96" s="58"/>
      <c r="D96" s="58"/>
      <c r="E96" s="58"/>
      <c r="F96" s="76"/>
      <c r="G96" s="76"/>
      <c r="H96" s="77"/>
      <c r="I96" s="76"/>
      <c r="J96" s="76"/>
      <c r="K96" s="76"/>
      <c r="L96" s="80"/>
      <c r="M96" s="76"/>
      <c r="N96" s="76"/>
      <c r="O96" s="76"/>
      <c r="P96" s="76"/>
      <c r="Q96" s="76"/>
      <c r="R96" s="80"/>
      <c r="S96" s="76"/>
      <c r="T96" s="76"/>
      <c r="U96" s="76"/>
      <c r="V96" s="76"/>
      <c r="W96" s="76"/>
      <c r="X96" s="80"/>
      <c r="Y96" s="76"/>
      <c r="Z96" s="76"/>
      <c r="AA96" s="76"/>
      <c r="AB96" s="76"/>
      <c r="AC96" s="76"/>
      <c r="AD96" s="76"/>
      <c r="AE96" s="76"/>
      <c r="AF96" s="76"/>
      <c r="AG96" s="76"/>
      <c r="AH96" s="76"/>
      <c r="AI96" s="76"/>
      <c r="AJ96" s="76"/>
      <c r="AK96" s="76"/>
      <c r="AL96" s="76"/>
      <c r="AM96" s="76"/>
      <c r="AN96" s="76"/>
      <c r="AO96" s="76"/>
      <c r="AP96" s="76"/>
      <c r="AQ96" s="76"/>
      <c r="AR96" s="76"/>
      <c r="AS96" s="76"/>
      <c r="AT96" s="76"/>
      <c r="AU96" s="76"/>
      <c r="AV96" s="76"/>
      <c r="AW96" s="76"/>
      <c r="AX96" s="76"/>
      <c r="AY96" s="76"/>
      <c r="AZ96" s="76"/>
      <c r="BA96" s="76"/>
      <c r="BB96" s="76"/>
      <c r="BC96" s="76"/>
      <c r="BD96" s="76"/>
      <c r="BE96" s="76"/>
      <c r="BF96" s="76"/>
    </row>
    <row r="97" spans="2:58">
      <c r="B97" s="59"/>
      <c r="C97" s="58"/>
      <c r="D97" s="58"/>
      <c r="E97" s="58"/>
      <c r="F97" s="76"/>
      <c r="G97" s="76"/>
      <c r="H97" s="76"/>
      <c r="I97" s="76"/>
      <c r="J97" s="76"/>
      <c r="K97" s="76"/>
      <c r="L97" s="76"/>
      <c r="M97" s="76"/>
      <c r="N97" s="76"/>
      <c r="O97" s="76"/>
      <c r="P97" s="76"/>
      <c r="Q97" s="76"/>
      <c r="R97" s="76"/>
      <c r="S97" s="76"/>
      <c r="T97" s="76"/>
      <c r="U97" s="76"/>
      <c r="V97" s="76"/>
      <c r="W97" s="76"/>
      <c r="X97" s="76"/>
      <c r="Y97" s="76"/>
      <c r="Z97" s="76"/>
      <c r="AA97" s="76"/>
      <c r="AB97" s="76"/>
      <c r="AC97" s="76"/>
      <c r="AD97" s="76"/>
      <c r="AE97" s="76"/>
      <c r="AF97" s="76"/>
      <c r="AG97" s="76"/>
      <c r="AH97" s="76"/>
      <c r="AI97" s="76"/>
      <c r="AJ97" s="76"/>
      <c r="AK97" s="76"/>
      <c r="AL97" s="76"/>
      <c r="AM97" s="76"/>
      <c r="AN97" s="76"/>
      <c r="AO97" s="76"/>
      <c r="AP97" s="76"/>
      <c r="AQ97" s="76"/>
      <c r="AR97" s="76"/>
      <c r="AS97" s="76"/>
      <c r="AT97" s="76"/>
      <c r="AU97" s="76"/>
      <c r="AV97" s="76"/>
      <c r="AW97" s="76"/>
      <c r="AX97" s="76"/>
      <c r="AY97" s="76"/>
      <c r="AZ97" s="76"/>
      <c r="BA97" s="76"/>
      <c r="BB97" s="76"/>
      <c r="BC97" s="76"/>
      <c r="BD97" s="76"/>
      <c r="BE97" s="76"/>
      <c r="BF97" s="76"/>
    </row>
    <row r="98" spans="2:58">
      <c r="B98" s="59"/>
      <c r="C98" s="58"/>
      <c r="D98" s="58"/>
      <c r="E98" s="58"/>
      <c r="F98" s="76"/>
      <c r="G98" s="76"/>
      <c r="H98" s="76"/>
      <c r="I98" s="76"/>
      <c r="J98" s="76"/>
      <c r="K98" s="76"/>
      <c r="L98" s="76"/>
      <c r="M98" s="76"/>
      <c r="N98" s="76"/>
      <c r="O98" s="76"/>
      <c r="P98" s="76"/>
      <c r="Q98" s="76"/>
      <c r="R98" s="76"/>
      <c r="S98" s="76"/>
      <c r="T98" s="76"/>
      <c r="U98" s="76"/>
      <c r="V98" s="76"/>
      <c r="W98" s="76"/>
      <c r="X98" s="76"/>
      <c r="Y98" s="76"/>
      <c r="Z98" s="76"/>
      <c r="AA98" s="76"/>
      <c r="AB98" s="76"/>
      <c r="AC98" s="76"/>
      <c r="AD98" s="76"/>
      <c r="AE98" s="76"/>
      <c r="AF98" s="76"/>
      <c r="AG98" s="76"/>
      <c r="AH98" s="76"/>
      <c r="AI98" s="76"/>
      <c r="AJ98" s="76"/>
      <c r="AK98" s="76"/>
      <c r="AL98" s="76"/>
      <c r="AM98" s="76"/>
      <c r="AN98" s="76"/>
      <c r="AO98" s="76"/>
      <c r="AP98" s="76"/>
      <c r="AQ98" s="76"/>
      <c r="AR98" s="76"/>
      <c r="AS98" s="76"/>
      <c r="AT98" s="76"/>
      <c r="AU98" s="76"/>
      <c r="AV98" s="76"/>
      <c r="AW98" s="76"/>
      <c r="AX98" s="76"/>
      <c r="AY98" s="76"/>
      <c r="AZ98" s="76"/>
      <c r="BA98" s="76"/>
      <c r="BB98" s="76"/>
      <c r="BC98" s="76"/>
      <c r="BD98" s="76"/>
      <c r="BE98" s="76"/>
      <c r="BF98" s="76"/>
    </row>
    <row r="99" spans="2:58">
      <c r="B99" s="59"/>
      <c r="C99" s="58"/>
      <c r="D99" s="58"/>
      <c r="E99" s="58"/>
      <c r="F99" s="76"/>
      <c r="G99" s="76"/>
      <c r="H99" s="76"/>
      <c r="I99" s="76"/>
      <c r="J99" s="76"/>
      <c r="K99" s="76"/>
      <c r="L99" s="76"/>
      <c r="M99" s="76"/>
      <c r="N99" s="76"/>
      <c r="O99" s="76"/>
      <c r="P99" s="76"/>
      <c r="Q99" s="76"/>
      <c r="R99" s="76"/>
      <c r="S99" s="76"/>
      <c r="T99" s="76"/>
      <c r="U99" s="76"/>
      <c r="V99" s="76"/>
      <c r="W99" s="76"/>
      <c r="X99" s="76"/>
      <c r="Y99" s="76"/>
      <c r="Z99" s="76"/>
      <c r="AA99" s="76"/>
      <c r="AB99" s="76"/>
      <c r="AC99" s="76"/>
      <c r="AD99" s="76"/>
      <c r="AE99" s="76"/>
      <c r="AF99" s="76"/>
      <c r="AG99" s="76"/>
      <c r="AH99" s="76"/>
      <c r="AI99" s="76"/>
      <c r="AJ99" s="76"/>
      <c r="AK99" s="76"/>
      <c r="AL99" s="76"/>
      <c r="AM99" s="76"/>
      <c r="AN99" s="76"/>
      <c r="AO99" s="76"/>
      <c r="AP99" s="76"/>
      <c r="AQ99" s="76"/>
      <c r="AR99" s="76"/>
      <c r="AS99" s="76"/>
      <c r="AT99" s="76"/>
      <c r="AU99" s="76"/>
      <c r="AV99" s="76"/>
      <c r="AW99" s="76"/>
      <c r="AX99" s="76"/>
      <c r="AY99" s="76"/>
      <c r="AZ99" s="76"/>
      <c r="BA99" s="76"/>
      <c r="BB99" s="76"/>
      <c r="BC99" s="76"/>
      <c r="BD99" s="76"/>
      <c r="BE99" s="76"/>
      <c r="BF99" s="76"/>
    </row>
    <row r="100" spans="2:58">
      <c r="B100" s="59"/>
      <c r="C100" s="58"/>
      <c r="D100" s="58"/>
      <c r="E100" s="58"/>
      <c r="F100" s="76"/>
      <c r="G100" s="76"/>
      <c r="H100" s="76"/>
      <c r="I100" s="76"/>
      <c r="J100" s="76"/>
      <c r="K100" s="76"/>
      <c r="L100" s="76"/>
      <c r="M100" s="76"/>
      <c r="N100" s="76"/>
      <c r="O100" s="76"/>
      <c r="P100" s="76"/>
      <c r="Q100" s="76"/>
      <c r="R100" s="76"/>
      <c r="S100" s="76"/>
      <c r="T100" s="76"/>
      <c r="U100" s="76"/>
      <c r="V100" s="76"/>
      <c r="W100" s="76"/>
      <c r="X100" s="76"/>
      <c r="Y100" s="76"/>
      <c r="Z100" s="76"/>
      <c r="AA100" s="76"/>
      <c r="AB100" s="76"/>
      <c r="AC100" s="76"/>
      <c r="AD100" s="76"/>
      <c r="AE100" s="76"/>
      <c r="AF100" s="76"/>
      <c r="AG100" s="76"/>
      <c r="AH100" s="76"/>
      <c r="AI100" s="76"/>
      <c r="AJ100" s="76"/>
      <c r="AK100" s="76"/>
      <c r="AL100" s="76"/>
      <c r="AM100" s="76"/>
      <c r="AN100" s="76"/>
      <c r="AO100" s="76"/>
      <c r="AP100" s="76"/>
      <c r="AQ100" s="76"/>
      <c r="AR100" s="76"/>
      <c r="AS100" s="76"/>
      <c r="AT100" s="76"/>
      <c r="AU100" s="76"/>
      <c r="AV100" s="76"/>
      <c r="AW100" s="76"/>
      <c r="AX100" s="76"/>
      <c r="AY100" s="76"/>
      <c r="AZ100" s="76"/>
      <c r="BA100" s="76"/>
      <c r="BB100" s="76"/>
      <c r="BC100" s="76"/>
      <c r="BD100" s="76"/>
      <c r="BE100" s="76"/>
      <c r="BF100" s="76"/>
    </row>
    <row r="101" spans="2:58">
      <c r="B101" s="59"/>
      <c r="C101" s="58"/>
      <c r="D101" s="58"/>
      <c r="E101" s="58"/>
      <c r="F101" s="76"/>
      <c r="G101" s="76"/>
      <c r="H101" s="76"/>
      <c r="I101" s="76"/>
      <c r="J101" s="76"/>
      <c r="K101" s="76"/>
      <c r="L101" s="76"/>
      <c r="M101" s="76"/>
      <c r="N101" s="76"/>
      <c r="O101" s="76"/>
      <c r="P101" s="76"/>
      <c r="Q101" s="76"/>
      <c r="R101" s="76"/>
      <c r="S101" s="76"/>
      <c r="T101" s="76"/>
      <c r="U101" s="76"/>
      <c r="V101" s="76"/>
      <c r="W101" s="76"/>
      <c r="X101" s="76"/>
      <c r="Y101" s="76"/>
      <c r="Z101" s="76"/>
      <c r="AA101" s="76"/>
      <c r="AB101" s="76"/>
      <c r="AC101" s="76"/>
      <c r="AD101" s="76"/>
      <c r="AE101" s="76"/>
      <c r="AF101" s="76"/>
      <c r="AG101" s="76"/>
      <c r="AH101" s="76"/>
      <c r="AI101" s="76"/>
      <c r="AJ101" s="76"/>
      <c r="AK101" s="76"/>
      <c r="AL101" s="76"/>
      <c r="AM101" s="76"/>
      <c r="AN101" s="76"/>
      <c r="AO101" s="76"/>
      <c r="AP101" s="76"/>
      <c r="AQ101" s="76"/>
      <c r="AR101" s="76"/>
      <c r="AS101" s="76"/>
      <c r="AT101" s="76"/>
      <c r="AU101" s="76"/>
      <c r="AV101" s="76"/>
      <c r="AW101" s="76"/>
      <c r="AX101" s="76"/>
      <c r="AY101" s="76"/>
      <c r="AZ101" s="76"/>
      <c r="BA101" s="76"/>
      <c r="BB101" s="76"/>
      <c r="BC101" s="76"/>
      <c r="BD101" s="76"/>
      <c r="BE101" s="76"/>
      <c r="BF101" s="76"/>
    </row>
    <row r="102" spans="2:58">
      <c r="B102" s="59"/>
      <c r="C102" s="58"/>
      <c r="D102" s="58"/>
      <c r="E102" s="58"/>
      <c r="F102" s="76"/>
      <c r="G102" s="76"/>
      <c r="H102" s="76"/>
      <c r="I102" s="76"/>
      <c r="J102" s="76"/>
      <c r="K102" s="76"/>
      <c r="L102" s="76"/>
      <c r="M102" s="76"/>
      <c r="N102" s="76"/>
      <c r="O102" s="76"/>
      <c r="P102" s="76"/>
      <c r="Q102" s="76"/>
      <c r="R102" s="76"/>
      <c r="S102" s="76"/>
      <c r="T102" s="76"/>
      <c r="U102" s="76"/>
      <c r="V102" s="76"/>
      <c r="W102" s="76"/>
      <c r="X102" s="76"/>
      <c r="Y102" s="76"/>
      <c r="Z102" s="76"/>
      <c r="AA102" s="76"/>
      <c r="AB102" s="76"/>
      <c r="AC102" s="76"/>
      <c r="AD102" s="76"/>
      <c r="AE102" s="76"/>
      <c r="AF102" s="76"/>
      <c r="AG102" s="76"/>
      <c r="AH102" s="76"/>
      <c r="AI102" s="76"/>
      <c r="AJ102" s="76"/>
      <c r="AK102" s="76"/>
      <c r="AL102" s="76"/>
      <c r="AM102" s="76"/>
      <c r="AN102" s="76"/>
      <c r="AO102" s="76"/>
      <c r="AP102" s="76"/>
      <c r="AQ102" s="76"/>
      <c r="AR102" s="76"/>
      <c r="AS102" s="76"/>
      <c r="AT102" s="76"/>
      <c r="AU102" s="76"/>
      <c r="AV102" s="76"/>
      <c r="AW102" s="76"/>
      <c r="AX102" s="76"/>
      <c r="AY102" s="76"/>
      <c r="AZ102" s="76"/>
      <c r="BA102" s="76"/>
      <c r="BB102" s="76"/>
      <c r="BC102" s="76"/>
      <c r="BD102" s="76"/>
      <c r="BE102" s="76"/>
      <c r="BF102" s="76"/>
    </row>
    <row r="103" spans="2:58">
      <c r="B103" s="59"/>
      <c r="C103" s="58"/>
      <c r="D103" s="58"/>
      <c r="E103" s="58"/>
      <c r="F103" s="76"/>
      <c r="G103" s="76"/>
      <c r="H103" s="76"/>
      <c r="I103" s="76"/>
      <c r="J103" s="76"/>
      <c r="K103" s="76"/>
      <c r="L103" s="76"/>
      <c r="M103" s="76"/>
      <c r="N103" s="76"/>
      <c r="O103" s="76"/>
      <c r="P103" s="76"/>
      <c r="Q103" s="76"/>
      <c r="R103" s="76"/>
      <c r="S103" s="76"/>
      <c r="T103" s="76"/>
      <c r="U103" s="76"/>
      <c r="V103" s="76"/>
      <c r="W103" s="76"/>
      <c r="X103" s="76"/>
      <c r="Y103" s="76"/>
      <c r="Z103" s="76"/>
      <c r="AA103" s="76"/>
      <c r="AB103" s="76"/>
      <c r="AC103" s="76"/>
      <c r="AD103" s="76"/>
      <c r="AE103" s="76"/>
      <c r="AF103" s="76"/>
      <c r="AG103" s="76"/>
      <c r="AH103" s="76"/>
      <c r="AI103" s="76"/>
      <c r="AJ103" s="76"/>
      <c r="AK103" s="76"/>
      <c r="AL103" s="76"/>
      <c r="AM103" s="76"/>
      <c r="AN103" s="76"/>
      <c r="AO103" s="76"/>
      <c r="AP103" s="76"/>
      <c r="AQ103" s="76"/>
      <c r="AR103" s="76"/>
      <c r="AS103" s="76"/>
      <c r="AT103" s="76"/>
      <c r="AU103" s="76"/>
      <c r="AV103" s="76"/>
      <c r="AW103" s="76"/>
      <c r="AX103" s="76"/>
      <c r="AY103" s="76"/>
      <c r="AZ103" s="76"/>
      <c r="BA103" s="76"/>
      <c r="BB103" s="76"/>
      <c r="BC103" s="76"/>
      <c r="BD103" s="76"/>
      <c r="BE103" s="76"/>
      <c r="BF103" s="76"/>
    </row>
    <row r="104" spans="2:58">
      <c r="B104" s="59"/>
      <c r="C104" s="58"/>
      <c r="D104" s="58"/>
      <c r="E104" s="58"/>
      <c r="F104" s="76"/>
      <c r="G104" s="76"/>
      <c r="H104" s="76"/>
      <c r="I104" s="76"/>
      <c r="J104" s="76"/>
      <c r="K104" s="76"/>
      <c r="L104" s="76"/>
      <c r="M104" s="76"/>
      <c r="N104" s="76"/>
      <c r="O104" s="76"/>
      <c r="P104" s="76"/>
      <c r="Q104" s="76"/>
      <c r="R104" s="76"/>
      <c r="S104" s="76"/>
      <c r="T104" s="76"/>
      <c r="U104" s="76"/>
      <c r="V104" s="76"/>
      <c r="W104" s="76"/>
      <c r="X104" s="76"/>
      <c r="Y104" s="76"/>
      <c r="Z104" s="76"/>
      <c r="AA104" s="76"/>
      <c r="AB104" s="76"/>
      <c r="AC104" s="76"/>
      <c r="AD104" s="76"/>
      <c r="AE104" s="76"/>
      <c r="AF104" s="76"/>
      <c r="AG104" s="76"/>
      <c r="AH104" s="76"/>
      <c r="AI104" s="76"/>
      <c r="AJ104" s="76"/>
      <c r="AK104" s="76"/>
      <c r="AL104" s="76"/>
      <c r="AM104" s="76"/>
      <c r="AN104" s="76"/>
      <c r="AO104" s="76"/>
      <c r="AP104" s="76"/>
      <c r="AQ104" s="76"/>
      <c r="AR104" s="76"/>
      <c r="AS104" s="76"/>
      <c r="AT104" s="76"/>
      <c r="AU104" s="76"/>
      <c r="AV104" s="76"/>
      <c r="AW104" s="76"/>
      <c r="AX104" s="76"/>
      <c r="AY104" s="76"/>
      <c r="AZ104" s="76"/>
      <c r="BA104" s="76"/>
      <c r="BB104" s="76"/>
      <c r="BC104" s="76"/>
      <c r="BD104" s="76"/>
      <c r="BE104" s="76"/>
      <c r="BF104" s="76"/>
    </row>
    <row r="105" spans="2:58">
      <c r="B105" s="59"/>
      <c r="C105" s="58"/>
      <c r="D105" s="58"/>
      <c r="E105" s="58"/>
      <c r="F105" s="76"/>
      <c r="G105" s="76"/>
      <c r="H105" s="76"/>
      <c r="I105" s="76"/>
      <c r="J105" s="76"/>
      <c r="K105" s="76"/>
      <c r="L105" s="76"/>
      <c r="M105" s="76"/>
      <c r="N105" s="76"/>
      <c r="O105" s="76"/>
      <c r="P105" s="76"/>
      <c r="Q105" s="76"/>
      <c r="R105" s="76"/>
      <c r="S105" s="76"/>
      <c r="T105" s="76"/>
      <c r="U105" s="76"/>
      <c r="V105" s="76"/>
      <c r="W105" s="76"/>
      <c r="X105" s="76"/>
      <c r="Y105" s="76"/>
      <c r="Z105" s="76"/>
      <c r="AA105" s="76"/>
      <c r="AB105" s="76"/>
      <c r="AC105" s="76"/>
      <c r="AD105" s="76"/>
      <c r="AE105" s="76"/>
      <c r="AF105" s="76"/>
      <c r="AG105" s="76"/>
      <c r="AH105" s="76"/>
      <c r="AI105" s="76"/>
      <c r="AJ105" s="76"/>
      <c r="AK105" s="76"/>
      <c r="AL105" s="76"/>
      <c r="AM105" s="76"/>
      <c r="AN105" s="76"/>
      <c r="AO105" s="76"/>
      <c r="AP105" s="76"/>
      <c r="AQ105" s="76"/>
      <c r="AR105" s="76"/>
      <c r="AS105" s="76"/>
      <c r="AT105" s="76"/>
      <c r="AU105" s="76"/>
      <c r="AV105" s="76"/>
      <c r="AW105" s="76"/>
      <c r="AX105" s="76"/>
      <c r="AY105" s="76"/>
      <c r="AZ105" s="76"/>
      <c r="BA105" s="76"/>
      <c r="BB105" s="76"/>
      <c r="BC105" s="76"/>
      <c r="BD105" s="76"/>
      <c r="BE105" s="76"/>
      <c r="BF105" s="76"/>
    </row>
    <row r="106" spans="2:58">
      <c r="B106" s="59"/>
      <c r="C106" s="58"/>
      <c r="D106" s="58"/>
      <c r="E106" s="58"/>
      <c r="F106" s="76"/>
      <c r="G106" s="76"/>
      <c r="H106" s="76"/>
      <c r="I106" s="76"/>
      <c r="J106" s="76"/>
      <c r="K106" s="76"/>
      <c r="L106" s="76"/>
      <c r="M106" s="76"/>
      <c r="N106" s="76"/>
      <c r="O106" s="76"/>
      <c r="P106" s="76"/>
      <c r="Q106" s="76"/>
      <c r="R106" s="76"/>
      <c r="S106" s="76"/>
      <c r="T106" s="76"/>
      <c r="U106" s="76"/>
      <c r="V106" s="76"/>
      <c r="W106" s="76"/>
      <c r="X106" s="76"/>
      <c r="Y106" s="76"/>
      <c r="Z106" s="76"/>
      <c r="AA106" s="76"/>
      <c r="AB106" s="76"/>
      <c r="AC106" s="76"/>
      <c r="AD106" s="76"/>
      <c r="AE106" s="76"/>
      <c r="AF106" s="76"/>
      <c r="AG106" s="76"/>
      <c r="AH106" s="76"/>
      <c r="AI106" s="76"/>
      <c r="AJ106" s="76"/>
      <c r="AK106" s="76"/>
      <c r="AL106" s="76"/>
      <c r="AM106" s="76"/>
      <c r="AN106" s="76"/>
      <c r="AO106" s="76"/>
      <c r="AP106" s="76"/>
      <c r="AQ106" s="76"/>
      <c r="AR106" s="76"/>
      <c r="AS106" s="76"/>
      <c r="AT106" s="76"/>
      <c r="AU106" s="76"/>
      <c r="AV106" s="76"/>
      <c r="AW106" s="76"/>
      <c r="AX106" s="76"/>
      <c r="AY106" s="76"/>
      <c r="AZ106" s="76"/>
      <c r="BA106" s="76"/>
      <c r="BB106" s="76"/>
      <c r="BC106" s="76"/>
      <c r="BD106" s="76"/>
      <c r="BE106" s="76"/>
      <c r="BF106" s="76"/>
    </row>
    <row r="107" spans="2:58">
      <c r="B107" s="59"/>
      <c r="C107" s="58"/>
      <c r="D107" s="58"/>
      <c r="E107" s="58"/>
      <c r="F107" s="76"/>
      <c r="G107" s="76"/>
      <c r="H107" s="76"/>
      <c r="I107" s="76"/>
      <c r="J107" s="76"/>
      <c r="K107" s="76"/>
      <c r="L107" s="76"/>
      <c r="M107" s="76"/>
      <c r="N107" s="76"/>
      <c r="O107" s="76"/>
      <c r="P107" s="76"/>
      <c r="Q107" s="76"/>
      <c r="R107" s="76"/>
      <c r="S107" s="76"/>
      <c r="T107" s="76"/>
      <c r="U107" s="76"/>
      <c r="V107" s="76"/>
      <c r="W107" s="76"/>
      <c r="X107" s="76"/>
      <c r="Y107" s="76"/>
      <c r="Z107" s="76"/>
      <c r="AA107" s="76"/>
      <c r="AB107" s="76"/>
      <c r="AC107" s="76"/>
      <c r="AD107" s="76"/>
    </row>
    <row r="108" spans="2:58">
      <c r="B108" s="59"/>
      <c r="C108" s="58"/>
      <c r="D108" s="58"/>
      <c r="E108" s="58"/>
      <c r="F108" s="76"/>
      <c r="G108" s="76"/>
      <c r="H108" s="76"/>
      <c r="I108" s="76"/>
      <c r="J108" s="76"/>
      <c r="K108" s="76"/>
      <c r="L108" s="76"/>
      <c r="M108" s="76"/>
      <c r="N108" s="76"/>
      <c r="O108" s="76"/>
      <c r="P108" s="76"/>
      <c r="Q108" s="76"/>
      <c r="R108" s="76"/>
      <c r="S108" s="76"/>
      <c r="T108" s="76"/>
      <c r="U108" s="76"/>
      <c r="V108" s="76"/>
      <c r="W108" s="76"/>
      <c r="X108" s="76"/>
      <c r="Y108" s="76"/>
      <c r="Z108" s="76"/>
      <c r="AA108" s="76"/>
      <c r="AB108" s="76"/>
      <c r="AC108" s="76"/>
      <c r="AD108" s="76"/>
    </row>
    <row r="109" spans="2:58">
      <c r="B109" s="59"/>
      <c r="C109" s="58"/>
      <c r="D109" s="58"/>
      <c r="E109" s="58"/>
      <c r="F109" s="76"/>
      <c r="G109" s="76"/>
      <c r="H109" s="76"/>
      <c r="I109" s="76"/>
      <c r="J109" s="76"/>
      <c r="K109" s="76"/>
      <c r="L109" s="76"/>
      <c r="M109" s="76"/>
      <c r="N109" s="76"/>
      <c r="O109" s="76"/>
      <c r="P109" s="76"/>
      <c r="Q109" s="76"/>
      <c r="R109" s="76"/>
      <c r="S109" s="76"/>
      <c r="T109" s="76"/>
      <c r="U109" s="76"/>
      <c r="V109" s="76"/>
      <c r="W109" s="76"/>
      <c r="X109" s="76"/>
      <c r="Y109" s="76"/>
      <c r="Z109" s="76"/>
      <c r="AA109" s="76"/>
      <c r="AB109" s="76"/>
      <c r="AC109" s="76"/>
      <c r="AD109" s="76"/>
    </row>
    <row r="110" spans="2:58">
      <c r="B110" s="59"/>
      <c r="C110" s="58"/>
      <c r="D110" s="58"/>
      <c r="E110" s="58"/>
      <c r="F110" s="76"/>
      <c r="G110" s="76"/>
      <c r="H110" s="76"/>
      <c r="I110" s="76"/>
      <c r="J110" s="76"/>
      <c r="K110" s="76"/>
      <c r="L110" s="76"/>
      <c r="M110" s="76"/>
      <c r="N110" s="76"/>
      <c r="O110" s="76"/>
      <c r="P110" s="76"/>
      <c r="Q110" s="76"/>
      <c r="R110" s="76"/>
      <c r="S110" s="76"/>
      <c r="T110" s="76"/>
      <c r="U110" s="76"/>
      <c r="V110" s="76"/>
      <c r="W110" s="76"/>
      <c r="X110" s="76"/>
      <c r="Y110" s="76"/>
      <c r="Z110" s="76"/>
      <c r="AA110" s="76"/>
      <c r="AB110" s="76"/>
      <c r="AC110" s="76"/>
      <c r="AD110" s="76"/>
    </row>
    <row r="111" spans="2:58">
      <c r="B111" s="59"/>
      <c r="C111" s="58"/>
      <c r="D111" s="58"/>
      <c r="E111" s="58"/>
    </row>
    <row r="112" spans="2:58">
      <c r="B112" s="59"/>
      <c r="C112" s="58"/>
      <c r="D112" s="58"/>
      <c r="E112" s="58"/>
    </row>
    <row r="113" spans="2:5">
      <c r="B113" s="59"/>
      <c r="C113" s="58"/>
      <c r="D113" s="58"/>
      <c r="E113" s="58"/>
    </row>
    <row r="114" spans="2:5">
      <c r="B114" s="59"/>
      <c r="C114" s="58"/>
      <c r="D114" s="58"/>
      <c r="E114" s="58"/>
    </row>
    <row r="115" spans="2:5">
      <c r="B115" s="59"/>
      <c r="C115" s="58"/>
      <c r="D115" s="58"/>
      <c r="E115" s="58"/>
    </row>
    <row r="116" spans="2:5">
      <c r="B116" s="59"/>
      <c r="C116" s="58"/>
      <c r="D116" s="58"/>
      <c r="E116" s="58"/>
    </row>
    <row r="117" spans="2:5">
      <c r="B117" s="59"/>
      <c r="C117" s="58"/>
      <c r="D117" s="58"/>
      <c r="E117" s="58"/>
    </row>
    <row r="118" spans="2:5">
      <c r="B118" s="59"/>
      <c r="C118" s="58"/>
      <c r="D118" s="58"/>
      <c r="E118" s="58"/>
    </row>
    <row r="119" spans="2:5">
      <c r="B119" s="59"/>
      <c r="C119" s="58"/>
      <c r="D119" s="58"/>
      <c r="E119" s="58"/>
    </row>
    <row r="120" spans="2:5">
      <c r="B120" s="59"/>
      <c r="C120" s="58"/>
      <c r="D120" s="58"/>
      <c r="E120" s="58"/>
    </row>
    <row r="121" spans="2:5">
      <c r="B121" s="59"/>
      <c r="C121" s="58"/>
      <c r="D121" s="58"/>
      <c r="E121" s="58"/>
    </row>
    <row r="122" spans="2:5">
      <c r="B122" s="59"/>
      <c r="C122" s="58"/>
      <c r="D122" s="58"/>
      <c r="E122" s="58"/>
    </row>
    <row r="123" spans="2:5">
      <c r="B123" s="59"/>
      <c r="C123" s="58"/>
      <c r="D123" s="58"/>
      <c r="E123" s="58"/>
    </row>
    <row r="124" spans="2:5">
      <c r="B124" s="59"/>
      <c r="C124" s="58"/>
      <c r="D124" s="58"/>
      <c r="E124" s="58"/>
    </row>
    <row r="125" spans="2:5">
      <c r="B125" s="59"/>
      <c r="C125" s="58"/>
      <c r="D125" s="58"/>
      <c r="E125" s="58"/>
    </row>
    <row r="126" spans="2:5">
      <c r="B126" s="59"/>
      <c r="C126" s="58"/>
      <c r="D126" s="58"/>
      <c r="E126" s="58"/>
    </row>
    <row r="127" spans="2:5">
      <c r="B127" s="59"/>
      <c r="C127" s="58"/>
      <c r="D127" s="58"/>
      <c r="E127" s="58"/>
    </row>
    <row r="128" spans="2:5">
      <c r="B128" s="59"/>
      <c r="C128" s="58"/>
      <c r="D128" s="58"/>
      <c r="E128" s="58"/>
    </row>
    <row r="129" spans="2:5">
      <c r="B129" s="59"/>
      <c r="C129" s="58"/>
      <c r="D129" s="58"/>
      <c r="E129" s="58"/>
    </row>
    <row r="130" spans="2:5">
      <c r="B130" s="59"/>
      <c r="C130" s="58"/>
      <c r="D130" s="58"/>
      <c r="E130" s="58"/>
    </row>
    <row r="131" spans="2:5">
      <c r="B131" s="59"/>
      <c r="C131" s="58"/>
      <c r="D131" s="58"/>
      <c r="E131" s="58"/>
    </row>
    <row r="132" spans="2:5">
      <c r="B132" s="59"/>
      <c r="C132" s="76"/>
      <c r="D132" s="76"/>
      <c r="E132" s="76"/>
    </row>
    <row r="133" spans="2:5">
      <c r="B133" s="59"/>
      <c r="C133" s="76"/>
      <c r="D133" s="76"/>
      <c r="E133" s="76"/>
    </row>
    <row r="134" spans="2:5">
      <c r="B134" s="77"/>
      <c r="C134" s="76"/>
      <c r="D134" s="76"/>
      <c r="E134" s="76"/>
    </row>
    <row r="135" spans="2:5">
      <c r="B135" s="77"/>
      <c r="C135" s="76"/>
      <c r="D135" s="76"/>
      <c r="E135" s="76"/>
    </row>
    <row r="136" spans="2:5">
      <c r="B136" s="77"/>
      <c r="C136" s="76"/>
      <c r="D136" s="76"/>
      <c r="E136" s="76"/>
    </row>
    <row r="137" spans="2:5">
      <c r="B137" s="77"/>
      <c r="C137" s="76"/>
      <c r="D137" s="76"/>
      <c r="E137" s="76"/>
    </row>
    <row r="138" spans="2:5">
      <c r="B138" s="77"/>
      <c r="C138" s="76"/>
      <c r="D138" s="76"/>
      <c r="E138" s="76"/>
    </row>
    <row r="139" spans="2:5">
      <c r="B139" s="77"/>
      <c r="C139" s="76"/>
      <c r="D139" s="76"/>
      <c r="E139" s="76"/>
    </row>
    <row r="140" spans="2:5">
      <c r="B140" s="77"/>
      <c r="C140" s="76"/>
      <c r="D140" s="76"/>
      <c r="E140" s="76"/>
    </row>
    <row r="141" spans="2:5">
      <c r="B141" s="77"/>
      <c r="C141" s="76"/>
      <c r="D141" s="76"/>
      <c r="E141" s="76"/>
    </row>
    <row r="142" spans="2:5">
      <c r="B142" s="77"/>
      <c r="C142" s="76"/>
      <c r="D142" s="76"/>
      <c r="E142" s="76"/>
    </row>
    <row r="143" spans="2:5">
      <c r="B143" s="77"/>
      <c r="C143" s="76"/>
      <c r="D143" s="76"/>
      <c r="E143" s="76"/>
    </row>
    <row r="144" spans="2:5">
      <c r="B144" s="77"/>
      <c r="C144" s="76"/>
      <c r="D144" s="76"/>
      <c r="E144" s="76"/>
    </row>
    <row r="145" spans="2:5">
      <c r="B145" s="77"/>
      <c r="C145" s="76"/>
      <c r="D145" s="76"/>
      <c r="E145" s="76"/>
    </row>
    <row r="146" spans="2:5">
      <c r="B146" s="77"/>
      <c r="C146" s="76"/>
      <c r="D146" s="76"/>
      <c r="E146" s="76"/>
    </row>
    <row r="147" spans="2:5">
      <c r="B147" s="77"/>
      <c r="C147" s="76"/>
      <c r="D147" s="76"/>
      <c r="E147" s="76"/>
    </row>
    <row r="148" spans="2:5">
      <c r="B148" s="76"/>
      <c r="C148" s="76"/>
      <c r="D148" s="76"/>
      <c r="E148" s="76"/>
    </row>
    <row r="149" spans="2:5">
      <c r="B149" s="76"/>
      <c r="C149" s="76"/>
      <c r="D149" s="76"/>
      <c r="E149" s="76"/>
    </row>
    <row r="150" spans="2:5">
      <c r="B150" s="76"/>
      <c r="C150" s="76"/>
      <c r="D150" s="76"/>
      <c r="E150" s="76"/>
    </row>
    <row r="151" spans="2:5">
      <c r="B151" s="76"/>
      <c r="C151" s="76"/>
      <c r="D151" s="76"/>
      <c r="E151" s="76"/>
    </row>
    <row r="152" spans="2:5">
      <c r="B152" s="76"/>
      <c r="C152" s="76"/>
      <c r="D152" s="76"/>
      <c r="E152" s="76"/>
    </row>
    <row r="153" spans="2:5">
      <c r="B153" s="76"/>
      <c r="C153" s="76"/>
      <c r="D153" s="76"/>
      <c r="E153" s="76"/>
    </row>
    <row r="154" spans="2:5">
      <c r="B154" s="76"/>
      <c r="C154" s="76"/>
      <c r="D154" s="76"/>
      <c r="E154" s="76"/>
    </row>
    <row r="155" spans="2:5">
      <c r="B155" s="76"/>
      <c r="C155" s="76"/>
      <c r="D155" s="76"/>
      <c r="E155" s="76"/>
    </row>
    <row r="156" spans="2:5">
      <c r="B156" s="76"/>
      <c r="C156" s="76"/>
      <c r="D156" s="76"/>
      <c r="E156" s="76"/>
    </row>
    <row r="157" spans="2:5">
      <c r="B157" s="76"/>
      <c r="C157" s="76"/>
      <c r="D157" s="76"/>
      <c r="E157" s="76"/>
    </row>
    <row r="158" spans="2:5">
      <c r="B158" s="76"/>
      <c r="C158" s="76"/>
      <c r="D158" s="76"/>
      <c r="E158" s="76"/>
    </row>
    <row r="159" spans="2:5">
      <c r="B159" s="76"/>
      <c r="C159" s="76"/>
      <c r="D159" s="76"/>
      <c r="E159" s="76"/>
    </row>
    <row r="160" spans="2:5">
      <c r="B160" s="76"/>
    </row>
    <row r="161" spans="2:2">
      <c r="B161" s="76"/>
    </row>
  </sheetData>
  <mergeCells count="26">
    <mergeCell ref="H3:H4"/>
    <mergeCell ref="B88:B89"/>
    <mergeCell ref="B92:B93"/>
    <mergeCell ref="H70:H71"/>
    <mergeCell ref="H92:H93"/>
    <mergeCell ref="E90:E91"/>
    <mergeCell ref="E92:E93"/>
    <mergeCell ref="E78:E79"/>
    <mergeCell ref="E80:E81"/>
    <mergeCell ref="E82:E83"/>
    <mergeCell ref="E84:E85"/>
    <mergeCell ref="E86:E87"/>
    <mergeCell ref="E88:E89"/>
    <mergeCell ref="AI10:AI11"/>
    <mergeCell ref="H90:H91"/>
    <mergeCell ref="AD9:AD10"/>
    <mergeCell ref="H74:H75"/>
    <mergeCell ref="H78:H79"/>
    <mergeCell ref="H82:H83"/>
    <mergeCell ref="H86:H87"/>
    <mergeCell ref="AI8:AI9"/>
    <mergeCell ref="H72:H73"/>
    <mergeCell ref="H76:H77"/>
    <mergeCell ref="H80:H81"/>
    <mergeCell ref="H84:H85"/>
    <mergeCell ref="H88:H89"/>
  </mergeCells>
  <conditionalFormatting sqref="I3">
    <cfRule type="expression" dxfId="130" priority="115">
      <formula>J3&lt;J4</formula>
    </cfRule>
  </conditionalFormatting>
  <conditionalFormatting sqref="I4">
    <cfRule type="expression" dxfId="129" priority="114">
      <formula>J4&lt;J3</formula>
    </cfRule>
  </conditionalFormatting>
  <conditionalFormatting sqref="I6">
    <cfRule type="expression" dxfId="128" priority="113">
      <formula>J6&lt;J5</formula>
    </cfRule>
  </conditionalFormatting>
  <conditionalFormatting sqref="I8">
    <cfRule type="expression" dxfId="127" priority="112">
      <formula>J8&lt;J7</formula>
    </cfRule>
  </conditionalFormatting>
  <conditionalFormatting sqref="I5">
    <cfRule type="expression" dxfId="126" priority="111">
      <formula>J5&lt;J6</formula>
    </cfRule>
  </conditionalFormatting>
  <conditionalFormatting sqref="I7">
    <cfRule type="expression" dxfId="125" priority="110">
      <formula>J7&lt;J8</formula>
    </cfRule>
  </conditionalFormatting>
  <conditionalFormatting sqref="I9">
    <cfRule type="expression" dxfId="124" priority="109">
      <formula>J9&lt;J10</formula>
    </cfRule>
  </conditionalFormatting>
  <conditionalFormatting sqref="I11">
    <cfRule type="expression" dxfId="123" priority="108">
      <formula>J11&lt;J12</formula>
    </cfRule>
  </conditionalFormatting>
  <conditionalFormatting sqref="I13">
    <cfRule type="expression" dxfId="122" priority="107">
      <formula>J13&lt;J14</formula>
    </cfRule>
  </conditionalFormatting>
  <conditionalFormatting sqref="I15">
    <cfRule type="expression" dxfId="121" priority="106">
      <formula>J15&lt;J16</formula>
    </cfRule>
  </conditionalFormatting>
  <conditionalFormatting sqref="I17">
    <cfRule type="expression" dxfId="120" priority="105">
      <formula>J17&lt;J18</formula>
    </cfRule>
  </conditionalFormatting>
  <conditionalFormatting sqref="I19">
    <cfRule type="expression" dxfId="119" priority="104">
      <formula>J19&lt;J20</formula>
    </cfRule>
  </conditionalFormatting>
  <conditionalFormatting sqref="I21">
    <cfRule type="expression" dxfId="118" priority="103">
      <formula>J21&lt;J22</formula>
    </cfRule>
  </conditionalFormatting>
  <conditionalFormatting sqref="I23">
    <cfRule type="expression" dxfId="117" priority="102">
      <formula>J23&lt;J24</formula>
    </cfRule>
  </conditionalFormatting>
  <conditionalFormatting sqref="I25">
    <cfRule type="expression" dxfId="116" priority="101">
      <formula>J25&lt;J26</formula>
    </cfRule>
  </conditionalFormatting>
  <conditionalFormatting sqref="I27">
    <cfRule type="expression" dxfId="115" priority="100">
      <formula>J27&lt;J28</formula>
    </cfRule>
  </conditionalFormatting>
  <conditionalFormatting sqref="I29">
    <cfRule type="expression" dxfId="114" priority="99">
      <formula>J29&lt;J30</formula>
    </cfRule>
  </conditionalFormatting>
  <conditionalFormatting sqref="I31">
    <cfRule type="expression" dxfId="113" priority="98">
      <formula>J31&lt;J32</formula>
    </cfRule>
  </conditionalFormatting>
  <conditionalFormatting sqref="I33">
    <cfRule type="expression" dxfId="112" priority="97">
      <formula>J33&lt;J34</formula>
    </cfRule>
  </conditionalFormatting>
  <conditionalFormatting sqref="I35">
    <cfRule type="expression" dxfId="111" priority="96">
      <formula>J35&lt;J36</formula>
    </cfRule>
  </conditionalFormatting>
  <conditionalFormatting sqref="I44:I66">
    <cfRule type="expression" dxfId="110" priority="92">
      <formula>J44&lt;J45</formula>
    </cfRule>
  </conditionalFormatting>
  <conditionalFormatting sqref="I10">
    <cfRule type="expression" dxfId="109" priority="80">
      <formula>J10&lt;J9</formula>
    </cfRule>
  </conditionalFormatting>
  <conditionalFormatting sqref="I12">
    <cfRule type="expression" dxfId="108" priority="79">
      <formula>J12&lt;J11</formula>
    </cfRule>
  </conditionalFormatting>
  <conditionalFormatting sqref="I16">
    <cfRule type="expression" dxfId="107" priority="78">
      <formula>J16&lt;J15</formula>
    </cfRule>
  </conditionalFormatting>
  <conditionalFormatting sqref="I18">
    <cfRule type="expression" dxfId="106" priority="77">
      <formula>J18&lt;J17</formula>
    </cfRule>
  </conditionalFormatting>
  <conditionalFormatting sqref="I20">
    <cfRule type="expression" dxfId="105" priority="76">
      <formula>J20&lt;J19</formula>
    </cfRule>
  </conditionalFormatting>
  <conditionalFormatting sqref="I24">
    <cfRule type="expression" dxfId="104" priority="75">
      <formula>J24&lt;J23</formula>
    </cfRule>
  </conditionalFormatting>
  <conditionalFormatting sqref="I26">
    <cfRule type="expression" dxfId="103" priority="74">
      <formula>J26&lt;J25</formula>
    </cfRule>
  </conditionalFormatting>
  <conditionalFormatting sqref="I28">
    <cfRule type="expression" dxfId="102" priority="73">
      <formula>J28&lt;J27</formula>
    </cfRule>
  </conditionalFormatting>
  <conditionalFormatting sqref="I30">
    <cfRule type="expression" dxfId="101" priority="72">
      <formula>J30&lt;J29</formula>
    </cfRule>
  </conditionalFormatting>
  <conditionalFormatting sqref="I32">
    <cfRule type="expression" dxfId="100" priority="71">
      <formula>J32&lt;J31</formula>
    </cfRule>
  </conditionalFormatting>
  <conditionalFormatting sqref="I34">
    <cfRule type="expression" dxfId="99" priority="70">
      <formula>J34&lt;J33</formula>
    </cfRule>
  </conditionalFormatting>
  <conditionalFormatting sqref="I36:I43">
    <cfRule type="expression" dxfId="98" priority="69">
      <formula>J36&lt;J35</formula>
    </cfRule>
  </conditionalFormatting>
  <conditionalFormatting sqref="O3">
    <cfRule type="expression" dxfId="97" priority="53">
      <formula>P3&lt;P4</formula>
    </cfRule>
  </conditionalFormatting>
  <conditionalFormatting sqref="O4">
    <cfRule type="expression" dxfId="96" priority="52">
      <formula>P4&lt;P3</formula>
    </cfRule>
  </conditionalFormatting>
  <conditionalFormatting sqref="O5">
    <cfRule type="expression" dxfId="95" priority="51">
      <formula>P5&lt;P6</formula>
    </cfRule>
  </conditionalFormatting>
  <conditionalFormatting sqref="O6">
    <cfRule type="expression" dxfId="94" priority="50">
      <formula>P6&lt;P5</formula>
    </cfRule>
  </conditionalFormatting>
  <conditionalFormatting sqref="O7">
    <cfRule type="expression" dxfId="93" priority="49">
      <formula>P7&lt;P8</formula>
    </cfRule>
  </conditionalFormatting>
  <conditionalFormatting sqref="O8">
    <cfRule type="expression" dxfId="92" priority="48">
      <formula>P8&lt;P7</formula>
    </cfRule>
  </conditionalFormatting>
  <conditionalFormatting sqref="O9">
    <cfRule type="expression" dxfId="91" priority="47">
      <formula>P9&lt;P10</formula>
    </cfRule>
  </conditionalFormatting>
  <conditionalFormatting sqref="O10">
    <cfRule type="expression" dxfId="90" priority="46">
      <formula>P10&lt;P9</formula>
    </cfRule>
  </conditionalFormatting>
  <conditionalFormatting sqref="O11">
    <cfRule type="expression" dxfId="89" priority="45">
      <formula>P11&lt;P12</formula>
    </cfRule>
  </conditionalFormatting>
  <conditionalFormatting sqref="O12">
    <cfRule type="expression" dxfId="88" priority="44">
      <formula>P12&lt;P11</formula>
    </cfRule>
  </conditionalFormatting>
  <conditionalFormatting sqref="O13">
    <cfRule type="expression" dxfId="87" priority="43">
      <formula>P13&lt;P14</formula>
    </cfRule>
  </conditionalFormatting>
  <conditionalFormatting sqref="O14">
    <cfRule type="expression" dxfId="86" priority="42">
      <formula>P14&lt;P13</formula>
    </cfRule>
  </conditionalFormatting>
  <conditionalFormatting sqref="O15">
    <cfRule type="expression" dxfId="85" priority="41">
      <formula>P15&lt;P16</formula>
    </cfRule>
  </conditionalFormatting>
  <conditionalFormatting sqref="O16">
    <cfRule type="expression" dxfId="84" priority="40">
      <formula>P16&lt;P15</formula>
    </cfRule>
  </conditionalFormatting>
  <conditionalFormatting sqref="O17">
    <cfRule type="expression" dxfId="83" priority="39">
      <formula>P17&lt;P18</formula>
    </cfRule>
  </conditionalFormatting>
  <conditionalFormatting sqref="O18">
    <cfRule type="expression" dxfId="82" priority="38">
      <formula>P18&lt;P17</formula>
    </cfRule>
  </conditionalFormatting>
  <conditionalFormatting sqref="O19">
    <cfRule type="expression" dxfId="81" priority="37">
      <formula>P19&lt;P20</formula>
    </cfRule>
  </conditionalFormatting>
  <conditionalFormatting sqref="O20">
    <cfRule type="expression" dxfId="80" priority="36">
      <formula>P20&lt;P19</formula>
    </cfRule>
  </conditionalFormatting>
  <conditionalFormatting sqref="O21">
    <cfRule type="expression" dxfId="79" priority="35">
      <formula>P21&lt;P22</formula>
    </cfRule>
  </conditionalFormatting>
  <conditionalFormatting sqref="O22">
    <cfRule type="expression" dxfId="78" priority="34">
      <formula>P22&lt;P21</formula>
    </cfRule>
  </conditionalFormatting>
  <conditionalFormatting sqref="O23">
    <cfRule type="expression" dxfId="77" priority="33">
      <formula>P23&lt;P24</formula>
    </cfRule>
  </conditionalFormatting>
  <conditionalFormatting sqref="O24">
    <cfRule type="expression" dxfId="76" priority="32">
      <formula>P24&lt;P23</formula>
    </cfRule>
  </conditionalFormatting>
  <conditionalFormatting sqref="O25">
    <cfRule type="expression" dxfId="75" priority="31">
      <formula>P25&lt;P26</formula>
    </cfRule>
  </conditionalFormatting>
  <conditionalFormatting sqref="O26">
    <cfRule type="expression" dxfId="74" priority="30">
      <formula>P26&lt;P25</formula>
    </cfRule>
  </conditionalFormatting>
  <conditionalFormatting sqref="O27">
    <cfRule type="expression" dxfId="73" priority="29">
      <formula>P27&lt;P28</formula>
    </cfRule>
  </conditionalFormatting>
  <conditionalFormatting sqref="O28">
    <cfRule type="expression" dxfId="72" priority="28">
      <formula>P28&lt;P27</formula>
    </cfRule>
  </conditionalFormatting>
  <conditionalFormatting sqref="O29">
    <cfRule type="expression" dxfId="71" priority="27">
      <formula>P29&lt;P30</formula>
    </cfRule>
  </conditionalFormatting>
  <conditionalFormatting sqref="O30">
    <cfRule type="expression" dxfId="70" priority="26">
      <formula>P30&lt;P29</formula>
    </cfRule>
  </conditionalFormatting>
  <conditionalFormatting sqref="O31">
    <cfRule type="expression" dxfId="69" priority="25">
      <formula>P31&lt;P32</formula>
    </cfRule>
  </conditionalFormatting>
  <conditionalFormatting sqref="O32">
    <cfRule type="expression" dxfId="68" priority="24">
      <formula>P32&lt;P31</formula>
    </cfRule>
  </conditionalFormatting>
  <conditionalFormatting sqref="O33">
    <cfRule type="expression" dxfId="67" priority="23">
      <formula>P33&lt;P34</formula>
    </cfRule>
  </conditionalFormatting>
  <conditionalFormatting sqref="O34">
    <cfRule type="expression" dxfId="66" priority="22">
      <formula>P34&lt;P33</formula>
    </cfRule>
  </conditionalFormatting>
  <conditionalFormatting sqref="U3">
    <cfRule type="expression" dxfId="65" priority="21">
      <formula>V3&lt;V4</formula>
    </cfRule>
  </conditionalFormatting>
  <conditionalFormatting sqref="U4">
    <cfRule type="expression" dxfId="64" priority="20">
      <formula>V4&lt;V3</formula>
    </cfRule>
  </conditionalFormatting>
  <conditionalFormatting sqref="U5 U7 U9 U11 U13 U15 U17">
    <cfRule type="expression" dxfId="63" priority="19">
      <formula>V5&lt;V6</formula>
    </cfRule>
  </conditionalFormatting>
  <conditionalFormatting sqref="U6 U8 U10 U12 U14 U16 U18">
    <cfRule type="expression" dxfId="62" priority="18">
      <formula>V6&lt;V5</formula>
    </cfRule>
  </conditionalFormatting>
  <conditionalFormatting sqref="Z3">
    <cfRule type="expression" dxfId="61" priority="17">
      <formula>AA3&lt;AA4</formula>
    </cfRule>
  </conditionalFormatting>
  <conditionalFormatting sqref="Z4">
    <cfRule type="expression" dxfId="60" priority="16">
      <formula>AA4&lt;AA3</formula>
    </cfRule>
  </conditionalFormatting>
  <conditionalFormatting sqref="Z5 Z7 Z9">
    <cfRule type="expression" dxfId="59" priority="15">
      <formula>AA5&lt;AA6</formula>
    </cfRule>
  </conditionalFormatting>
  <conditionalFormatting sqref="Z6 Z8 Z10">
    <cfRule type="expression" dxfId="58" priority="14">
      <formula>AA6&lt;AA5</formula>
    </cfRule>
  </conditionalFormatting>
  <conditionalFormatting sqref="AE3">
    <cfRule type="expression" dxfId="57" priority="9">
      <formula>AF3&lt;AF4</formula>
    </cfRule>
  </conditionalFormatting>
  <conditionalFormatting sqref="AE4">
    <cfRule type="expression" dxfId="56" priority="8">
      <formula>AF4&lt;AF3</formula>
    </cfRule>
  </conditionalFormatting>
  <conditionalFormatting sqref="AE5">
    <cfRule type="expression" dxfId="55" priority="7">
      <formula>AF5&lt;AF6</formula>
    </cfRule>
  </conditionalFormatting>
  <conditionalFormatting sqref="AE6">
    <cfRule type="expression" dxfId="54" priority="6">
      <formula>AF6&lt;AF5</formula>
    </cfRule>
  </conditionalFormatting>
  <conditionalFormatting sqref="AA3:AA10">
    <cfRule type="expression" dxfId="53" priority="3">
      <formula>AB3&lt;AB4</formula>
    </cfRule>
  </conditionalFormatting>
  <conditionalFormatting sqref="I14">
    <cfRule type="expression" dxfId="52" priority="2">
      <formula>J14&lt;J13</formula>
    </cfRule>
  </conditionalFormatting>
  <conditionalFormatting sqref="I22">
    <cfRule type="expression" dxfId="51" priority="1">
      <formula>J22&lt;J21</formula>
    </cfRule>
  </conditionalFormatting>
  <hyperlinks>
    <hyperlink ref="A1" location="Menu!A1" display="Menu!A1" xr:uid="{00000000-0004-0000-0300-000000000000}"/>
  </hyperlinks>
  <pageMargins left="0.70866141732283472" right="0.70866141732283472" top="0.74803149606299213" bottom="0.74803149606299213" header="0.31496062992125984" footer="0.31496062992125984"/>
  <pageSetup paperSize="9" scale="43" orientation="portrait" r:id="rId1"/>
  <headerFooter>
    <oddHeader>&amp;L&amp;G&amp;R&amp;24&amp;K7030A0Cup Draw</oddHeader>
  </headerFooter>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8">
    <tabColor rgb="FFFFFF00"/>
  </sheetPr>
  <dimension ref="A1:AM139"/>
  <sheetViews>
    <sheetView zoomScaleNormal="100" workbookViewId="0">
      <selection activeCell="F20" sqref="F20"/>
    </sheetView>
  </sheetViews>
  <sheetFormatPr defaultRowHeight="12.75"/>
  <cols>
    <col min="1" max="1" width="7.3984375" style="522" customWidth="1"/>
    <col min="2" max="2" width="14" style="15" customWidth="1"/>
    <col min="3" max="3" width="14" style="165" customWidth="1"/>
    <col min="4" max="4" width="11" style="9" customWidth="1"/>
    <col min="5" max="5" width="18" style="4" customWidth="1"/>
    <col min="6" max="6" width="19" customWidth="1"/>
    <col min="7" max="7" width="7.265625" style="165" customWidth="1"/>
    <col min="8" max="8" width="9.86328125" style="165" customWidth="1"/>
    <col min="9" max="9" width="6.59765625" style="165" customWidth="1"/>
    <col min="10" max="10" width="6.1328125" style="165" customWidth="1"/>
    <col min="11" max="11" width="6" style="165" customWidth="1"/>
    <col min="12" max="12" width="5.59765625" style="165" customWidth="1"/>
    <col min="13" max="13" width="5.73046875" style="165" customWidth="1"/>
    <col min="14" max="14" width="5.1328125" style="165" customWidth="1"/>
    <col min="15" max="15" width="6.73046875" style="2" customWidth="1"/>
    <col min="16" max="16" width="6.265625" style="33" customWidth="1"/>
    <col min="17" max="17" width="20" customWidth="1"/>
    <col min="18" max="18" width="14.86328125" customWidth="1"/>
    <col min="19" max="19" width="8.265625" customWidth="1"/>
    <col min="20" max="20" width="7.73046875" customWidth="1"/>
    <col min="21" max="21" width="42.1328125" customWidth="1"/>
    <col min="22" max="22" width="30" style="4" customWidth="1"/>
    <col min="23" max="23" width="22.73046875" customWidth="1"/>
    <col min="24" max="24" width="10.73046875" customWidth="1"/>
    <col min="25" max="26" width="10.73046875" style="1" customWidth="1"/>
    <col min="27" max="27" width="10.73046875" style="167" customWidth="1"/>
    <col min="28" max="28" width="10.73046875" style="168" customWidth="1"/>
    <col min="29" max="29" width="10.73046875" style="167" customWidth="1"/>
    <col min="30" max="31" width="10.73046875" style="1" customWidth="1"/>
    <col min="32" max="32" width="10.73046875" customWidth="1"/>
    <col min="33" max="35" width="10.73046875" style="1" customWidth="1"/>
    <col min="36" max="36" width="10.73046875" customWidth="1"/>
    <col min="37" max="37" width="10.73046875" style="13" customWidth="1"/>
    <col min="38" max="38" width="10.73046875" customWidth="1"/>
    <col min="39" max="39" width="8.3984375" bestFit="1" customWidth="1"/>
  </cols>
  <sheetData>
    <row r="1" spans="1:39" ht="53.65" customHeight="1">
      <c r="A1" s="521" t="s">
        <v>464</v>
      </c>
      <c r="B1" s="164" t="s">
        <v>30</v>
      </c>
      <c r="C1" s="164" t="s">
        <v>211</v>
      </c>
      <c r="D1" s="22" t="s">
        <v>164</v>
      </c>
      <c r="E1" s="23" t="s">
        <v>32</v>
      </c>
      <c r="F1" s="24" t="s">
        <v>33</v>
      </c>
      <c r="G1" s="163" t="s">
        <v>56</v>
      </c>
      <c r="H1" s="163" t="s">
        <v>57</v>
      </c>
      <c r="I1" s="164" t="s">
        <v>34</v>
      </c>
      <c r="J1" s="164" t="s">
        <v>35</v>
      </c>
      <c r="K1" s="164" t="s">
        <v>36</v>
      </c>
      <c r="L1" s="164" t="s">
        <v>37</v>
      </c>
      <c r="M1" s="164" t="s">
        <v>38</v>
      </c>
      <c r="N1" s="164" t="s">
        <v>39</v>
      </c>
      <c r="O1" s="679" t="s">
        <v>467</v>
      </c>
      <c r="P1" s="523" t="s">
        <v>466</v>
      </c>
      <c r="Q1" s="31" t="s">
        <v>46</v>
      </c>
      <c r="R1" s="31" t="s">
        <v>47</v>
      </c>
      <c r="S1" s="31" t="s">
        <v>49</v>
      </c>
      <c r="T1" s="31" t="s">
        <v>50</v>
      </c>
      <c r="U1" s="26" t="s">
        <v>40</v>
      </c>
      <c r="V1" s="29" t="s">
        <v>19</v>
      </c>
      <c r="W1" t="s">
        <v>31</v>
      </c>
      <c r="X1" t="s">
        <v>41</v>
      </c>
      <c r="Y1" s="10" t="s">
        <v>43</v>
      </c>
      <c r="Z1" s="10" t="s">
        <v>42</v>
      </c>
      <c r="AA1" s="166" t="s">
        <v>181</v>
      </c>
      <c r="AB1" s="166" t="s">
        <v>182</v>
      </c>
      <c r="AC1" s="166" t="s">
        <v>183</v>
      </c>
      <c r="AD1" s="10"/>
      <c r="AE1" s="10"/>
      <c r="AF1" s="10"/>
      <c r="AG1" s="10"/>
      <c r="AH1" s="10"/>
      <c r="AI1" s="10"/>
      <c r="AJ1" s="10"/>
      <c r="AK1" s="12"/>
      <c r="AL1" s="8"/>
      <c r="AM1" s="8"/>
    </row>
    <row r="2" spans="1:39">
      <c r="A2" s="522">
        <v>1</v>
      </c>
      <c r="B2" s="25">
        <v>46290</v>
      </c>
      <c r="C2" s="158">
        <v>43</v>
      </c>
      <c r="D2" s="21" t="s">
        <v>575</v>
      </c>
      <c r="E2" s="25" t="s">
        <v>576</v>
      </c>
      <c r="F2" s="25" t="s">
        <v>577</v>
      </c>
      <c r="G2" s="158">
        <v>2</v>
      </c>
      <c r="H2" s="158">
        <v>0</v>
      </c>
      <c r="I2" s="158">
        <v>7</v>
      </c>
      <c r="J2" s="158">
        <v>10</v>
      </c>
      <c r="K2" s="158">
        <v>13</v>
      </c>
      <c r="L2" s="158">
        <v>5</v>
      </c>
      <c r="M2" s="158">
        <v>19</v>
      </c>
      <c r="N2" s="158">
        <v>5</v>
      </c>
      <c r="O2" s="680" t="s">
        <v>550</v>
      </c>
      <c r="P2" s="524" t="str">
        <f>IF(B2="","",IF(O2="FALSE","","OFF"))</f>
        <v/>
      </c>
      <c r="Q2" s="32" t="str">
        <f t="shared" ref="Q2:Q32" si="0">TRIM(E2)</f>
        <v>Armenia</v>
      </c>
      <c r="R2" s="32" t="str">
        <f t="shared" ref="R2:R32" si="1">TRIM(F2)</f>
        <v>Latvia</v>
      </c>
      <c r="S2" s="31" t="str">
        <f t="shared" ref="S2:S32" si="2">TRIM(G2)</f>
        <v>2</v>
      </c>
      <c r="T2" s="32" t="str">
        <f t="shared" ref="T2:T32" si="3">TRIM(H2)</f>
        <v>0</v>
      </c>
      <c r="U2" s="27" t="str">
        <f>IF(B2="","",IF(O2=TRUE,Q2&amp;"  v  "&amp;R2&amp;"  OFF",Q2&amp;"  v  "&amp;R2&amp;"   "&amp;W2))</f>
        <v>Armenia  v  Latvia   7/10  13/5  19/5</v>
      </c>
      <c r="V2" s="30" t="str">
        <f>Q2&amp;" "&amp;S2&amp;"-"&amp;T2&amp;" "&amp;R2&amp;" "&amp;P2</f>
        <v xml:space="preserve">Armenia 2-0 Latvia </v>
      </c>
      <c r="W2" t="str">
        <f>X2&amp;"  "&amp;Y2&amp;"  "&amp;Z2</f>
        <v>7/10  13/5  19/5</v>
      </c>
      <c r="X2" s="17" t="str">
        <f t="shared" ref="X2:X32" si="4">CONCATENATE(I2,"/",J2)</f>
        <v>7/10</v>
      </c>
      <c r="Y2" s="17" t="str">
        <f t="shared" ref="Y2:Y32" si="5">CONCATENATE(K2,"/",L2)</f>
        <v>13/5</v>
      </c>
      <c r="Z2" s="17" t="str">
        <f t="shared" ref="Z2:Z32" si="6">CONCATENATE(M2,"/",N2)</f>
        <v>19/5</v>
      </c>
      <c r="AA2" s="167">
        <f>IF(B2="","",1+(I2/J2))</f>
        <v>1.7</v>
      </c>
      <c r="AB2" s="167">
        <f>IF(D2="","",1+(K2/L2))</f>
        <v>3.6</v>
      </c>
      <c r="AC2" s="167">
        <f>IF(E2="","",1+(M2/N2))</f>
        <v>4.8</v>
      </c>
      <c r="AD2" s="11"/>
      <c r="AH2" s="11"/>
    </row>
    <row r="3" spans="1:39">
      <c r="A3" s="522">
        <v>2</v>
      </c>
      <c r="B3" s="25">
        <v>46290</v>
      </c>
      <c r="C3" s="158">
        <v>43</v>
      </c>
      <c r="D3" s="21" t="s">
        <v>575</v>
      </c>
      <c r="E3" s="25" t="s">
        <v>578</v>
      </c>
      <c r="F3" s="25" t="s">
        <v>579</v>
      </c>
      <c r="G3" s="158">
        <v>0</v>
      </c>
      <c r="H3" s="158">
        <v>1</v>
      </c>
      <c r="I3" s="158">
        <v>17</v>
      </c>
      <c r="J3" s="158">
        <v>20</v>
      </c>
      <c r="K3" s="158">
        <v>12</v>
      </c>
      <c r="L3" s="158">
        <v>5</v>
      </c>
      <c r="M3" s="158">
        <v>3</v>
      </c>
      <c r="N3" s="158">
        <v>1</v>
      </c>
      <c r="O3" s="679" t="s">
        <v>550</v>
      </c>
      <c r="P3" s="524" t="str">
        <f t="shared" ref="P3:P47" si="7">IF(B3="","",IF(O3="FALSE","","OFF"))</f>
        <v/>
      </c>
      <c r="Q3" s="32" t="str">
        <f t="shared" si="0"/>
        <v>Georgia</v>
      </c>
      <c r="R3" s="32" t="str">
        <f t="shared" si="1"/>
        <v>N Ireland</v>
      </c>
      <c r="S3" s="31" t="str">
        <f t="shared" si="2"/>
        <v>0</v>
      </c>
      <c r="T3" s="32" t="str">
        <f t="shared" si="3"/>
        <v>1</v>
      </c>
      <c r="U3" s="27" t="str">
        <f t="shared" ref="U3:U66" si="8">IF(B3="","",IF(O3=TRUE,Q3&amp;"  v  "&amp;R3&amp;"  OFF",Q3&amp;"  v  "&amp;R3&amp;"   "&amp;W3))</f>
        <v>Georgia  v  N Ireland   17/20  12/5  3/1</v>
      </c>
      <c r="V3" s="30" t="str">
        <f t="shared" ref="V3:V47" si="9">Q3&amp;" "&amp;S3&amp;"-"&amp;T3&amp;" "&amp;R3&amp;" "&amp;P3</f>
        <v xml:space="preserve">Georgia 0-1 N Ireland </v>
      </c>
      <c r="W3" t="str">
        <f t="shared" ref="W3:W44" si="10">X3&amp;"  "&amp;Y3&amp;"  "&amp;Z3</f>
        <v>17/20  12/5  3/1</v>
      </c>
      <c r="X3" s="17" t="str">
        <f t="shared" si="4"/>
        <v>17/20</v>
      </c>
      <c r="Y3" s="17" t="str">
        <f t="shared" si="5"/>
        <v>12/5</v>
      </c>
      <c r="Z3" s="17" t="str">
        <f t="shared" si="6"/>
        <v>3/1</v>
      </c>
      <c r="AA3" s="167">
        <f t="shared" ref="AA3:AA47" si="11">IF(B3="","",1+(I3/J3))</f>
        <v>1.85</v>
      </c>
      <c r="AB3" s="167">
        <f t="shared" ref="AB3:AB47" si="12">IF(D3="","",1+(K3/L3))</f>
        <v>3.4</v>
      </c>
      <c r="AC3" s="167">
        <f t="shared" ref="AC3:AC47" si="13">IF(E3="","",1+(M3/N3))</f>
        <v>4</v>
      </c>
      <c r="AD3" s="11"/>
      <c r="AH3" s="11"/>
    </row>
    <row r="4" spans="1:39">
      <c r="A4" s="522">
        <v>3</v>
      </c>
      <c r="B4" s="25">
        <v>46290</v>
      </c>
      <c r="C4" s="158">
        <v>43</v>
      </c>
      <c r="D4" s="25" t="s">
        <v>575</v>
      </c>
      <c r="E4" s="25" t="s">
        <v>580</v>
      </c>
      <c r="F4" s="25" t="s">
        <v>581</v>
      </c>
      <c r="G4" s="158">
        <v>0</v>
      </c>
      <c r="H4" s="158">
        <v>1</v>
      </c>
      <c r="I4" s="158">
        <v>6</v>
      </c>
      <c r="J4" s="158">
        <v>5</v>
      </c>
      <c r="K4" s="158">
        <v>21</v>
      </c>
      <c r="L4" s="158">
        <v>10</v>
      </c>
      <c r="M4" s="158">
        <v>11</v>
      </c>
      <c r="N4" s="158">
        <v>5</v>
      </c>
      <c r="O4" s="680" t="s">
        <v>550</v>
      </c>
      <c r="P4" s="524" t="str">
        <f t="shared" si="7"/>
        <v/>
      </c>
      <c r="Q4" s="32" t="str">
        <f t="shared" si="0"/>
        <v>Hungary</v>
      </c>
      <c r="R4" s="32" t="str">
        <f t="shared" si="1"/>
        <v>Ukraine</v>
      </c>
      <c r="S4" s="31" t="str">
        <f t="shared" si="2"/>
        <v>0</v>
      </c>
      <c r="T4" s="32" t="str">
        <f t="shared" si="3"/>
        <v>1</v>
      </c>
      <c r="U4" s="27" t="str">
        <f t="shared" si="8"/>
        <v>Hungary  v  Ukraine   6/5  21/10  11/5</v>
      </c>
      <c r="V4" s="30" t="str">
        <f t="shared" si="9"/>
        <v xml:space="preserve">Hungary 0-1 Ukraine </v>
      </c>
      <c r="W4" t="str">
        <f t="shared" si="10"/>
        <v>6/5  21/10  11/5</v>
      </c>
      <c r="X4" s="17" t="str">
        <f t="shared" si="4"/>
        <v>6/5</v>
      </c>
      <c r="Y4" s="17" t="str">
        <f t="shared" si="5"/>
        <v>21/10</v>
      </c>
      <c r="Z4" s="17" t="str">
        <f t="shared" si="6"/>
        <v>11/5</v>
      </c>
      <c r="AA4" s="167">
        <f t="shared" si="11"/>
        <v>2.2000000000000002</v>
      </c>
      <c r="AB4" s="167">
        <f t="shared" si="12"/>
        <v>3.1</v>
      </c>
      <c r="AC4" s="167">
        <f t="shared" si="13"/>
        <v>3.2</v>
      </c>
      <c r="AD4" s="11"/>
      <c r="AH4" s="11"/>
    </row>
    <row r="5" spans="1:39">
      <c r="A5" s="522">
        <v>4</v>
      </c>
      <c r="B5" s="25">
        <v>46290</v>
      </c>
      <c r="C5" s="158">
        <v>43</v>
      </c>
      <c r="D5" s="25" t="s">
        <v>575</v>
      </c>
      <c r="E5" s="25" t="s">
        <v>582</v>
      </c>
      <c r="F5" s="25" t="s">
        <v>583</v>
      </c>
      <c r="G5" s="158">
        <v>0</v>
      </c>
      <c r="H5" s="158">
        <v>2</v>
      </c>
      <c r="I5" s="158">
        <v>11</v>
      </c>
      <c r="J5" s="158">
        <v>10</v>
      </c>
      <c r="K5" s="158">
        <v>12</v>
      </c>
      <c r="L5" s="158">
        <v>5</v>
      </c>
      <c r="M5" s="158">
        <v>21</v>
      </c>
      <c r="N5" s="158">
        <v>10</v>
      </c>
      <c r="O5" s="680" t="s">
        <v>550</v>
      </c>
      <c r="P5" s="524" t="str">
        <f t="shared" si="7"/>
        <v/>
      </c>
      <c r="Q5" s="32" t="str">
        <f t="shared" si="0"/>
        <v>Italy</v>
      </c>
      <c r="R5" s="32" t="str">
        <f t="shared" si="1"/>
        <v>Belgium</v>
      </c>
      <c r="S5" s="31" t="str">
        <f t="shared" si="2"/>
        <v>0</v>
      </c>
      <c r="T5" s="32" t="str">
        <f t="shared" si="3"/>
        <v>2</v>
      </c>
      <c r="U5" s="27" t="str">
        <f t="shared" si="8"/>
        <v>Italy  v  Belgium   11/10  12/5  21/10</v>
      </c>
      <c r="V5" s="30" t="str">
        <f t="shared" si="9"/>
        <v xml:space="preserve">Italy 0-2 Belgium </v>
      </c>
      <c r="W5" t="str">
        <f t="shared" si="10"/>
        <v>11/10  12/5  21/10</v>
      </c>
      <c r="X5" s="17" t="str">
        <f t="shared" si="4"/>
        <v>11/10</v>
      </c>
      <c r="Y5" s="17" t="str">
        <f t="shared" si="5"/>
        <v>12/5</v>
      </c>
      <c r="Z5" s="17" t="str">
        <f t="shared" si="6"/>
        <v>21/10</v>
      </c>
      <c r="AA5" s="167">
        <f t="shared" si="11"/>
        <v>2.1</v>
      </c>
      <c r="AB5" s="167">
        <f t="shared" si="12"/>
        <v>3.4</v>
      </c>
      <c r="AC5" s="167">
        <f t="shared" si="13"/>
        <v>3.1</v>
      </c>
      <c r="AD5" s="11"/>
      <c r="AH5" s="11"/>
    </row>
    <row r="6" spans="1:39">
      <c r="A6" s="522">
        <v>5</v>
      </c>
      <c r="B6" s="25">
        <v>46290</v>
      </c>
      <c r="C6" s="158">
        <v>43</v>
      </c>
      <c r="D6" s="25" t="s">
        <v>575</v>
      </c>
      <c r="E6" s="25" t="s">
        <v>584</v>
      </c>
      <c r="F6" s="25" t="s">
        <v>585</v>
      </c>
      <c r="G6" s="158">
        <v>2</v>
      </c>
      <c r="H6" s="158">
        <v>1</v>
      </c>
      <c r="I6" s="158">
        <v>7</v>
      </c>
      <c r="J6" s="158">
        <v>10</v>
      </c>
      <c r="K6" s="158">
        <v>5</v>
      </c>
      <c r="L6" s="158">
        <v>2</v>
      </c>
      <c r="M6" s="158">
        <v>15</v>
      </c>
      <c r="N6" s="158">
        <v>4</v>
      </c>
      <c r="O6" s="680" t="s">
        <v>550</v>
      </c>
      <c r="P6" s="524" t="str">
        <f t="shared" si="7"/>
        <v/>
      </c>
      <c r="Q6" s="32" t="str">
        <f t="shared" si="0"/>
        <v>Montenegro</v>
      </c>
      <c r="R6" s="32" t="str">
        <f t="shared" si="1"/>
        <v>Cyprus</v>
      </c>
      <c r="S6" s="31" t="str">
        <f t="shared" si="2"/>
        <v>2</v>
      </c>
      <c r="T6" s="32" t="str">
        <f t="shared" si="3"/>
        <v>1</v>
      </c>
      <c r="U6" s="27" t="str">
        <f t="shared" si="8"/>
        <v>Montenegro  v  Cyprus   7/10  5/2  15/4</v>
      </c>
      <c r="V6" s="30" t="str">
        <f t="shared" si="9"/>
        <v xml:space="preserve">Montenegro 2-1 Cyprus </v>
      </c>
      <c r="W6" t="str">
        <f t="shared" si="10"/>
        <v>7/10  5/2  15/4</v>
      </c>
      <c r="X6" s="17" t="str">
        <f t="shared" si="4"/>
        <v>7/10</v>
      </c>
      <c r="Y6" s="17" t="str">
        <f t="shared" si="5"/>
        <v>5/2</v>
      </c>
      <c r="Z6" s="17" t="str">
        <f t="shared" si="6"/>
        <v>15/4</v>
      </c>
      <c r="AA6" s="167">
        <f t="shared" si="11"/>
        <v>1.7</v>
      </c>
      <c r="AB6" s="167">
        <f t="shared" si="12"/>
        <v>3.5</v>
      </c>
      <c r="AC6" s="167">
        <f t="shared" si="13"/>
        <v>4.75</v>
      </c>
      <c r="AD6" s="11"/>
      <c r="AH6" s="11"/>
    </row>
    <row r="7" spans="1:39">
      <c r="A7" s="522">
        <v>6</v>
      </c>
      <c r="B7" s="25">
        <v>46290</v>
      </c>
      <c r="C7" s="158">
        <v>43</v>
      </c>
      <c r="D7" s="25" t="s">
        <v>575</v>
      </c>
      <c r="E7" s="25" t="s">
        <v>586</v>
      </c>
      <c r="F7" s="25" t="s">
        <v>587</v>
      </c>
      <c r="G7" s="158">
        <v>0</v>
      </c>
      <c r="H7" s="158">
        <v>0</v>
      </c>
      <c r="I7" s="158">
        <v>4</v>
      </c>
      <c r="J7" s="158">
        <v>6</v>
      </c>
      <c r="K7" s="158">
        <v>13</v>
      </c>
      <c r="L7" s="158">
        <v>5</v>
      </c>
      <c r="M7" s="158">
        <v>19</v>
      </c>
      <c r="N7" s="158">
        <v>5</v>
      </c>
      <c r="O7" s="680" t="s">
        <v>550</v>
      </c>
      <c r="P7" s="524" t="str">
        <f t="shared" si="7"/>
        <v/>
      </c>
      <c r="Q7" s="32" t="str">
        <f>TRIM(E7)</f>
        <v>Poland</v>
      </c>
      <c r="R7" s="32" t="str">
        <f t="shared" si="1"/>
        <v>Bosnia</v>
      </c>
      <c r="S7" s="31" t="str">
        <f t="shared" si="2"/>
        <v>0</v>
      </c>
      <c r="T7" s="32" t="str">
        <f t="shared" si="3"/>
        <v>0</v>
      </c>
      <c r="U7" s="27" t="str">
        <f t="shared" si="8"/>
        <v>Poland  v  Bosnia   4/6  13/5  19/5</v>
      </c>
      <c r="V7" s="30" t="str">
        <f t="shared" si="9"/>
        <v xml:space="preserve">Poland 0-0 Bosnia </v>
      </c>
      <c r="W7" t="str">
        <f t="shared" si="10"/>
        <v>4/6  13/5  19/5</v>
      </c>
      <c r="X7" s="17" t="str">
        <f t="shared" si="4"/>
        <v>4/6</v>
      </c>
      <c r="Y7" s="17" t="str">
        <f t="shared" si="5"/>
        <v>13/5</v>
      </c>
      <c r="Z7" s="17" t="str">
        <f t="shared" si="6"/>
        <v>19/5</v>
      </c>
      <c r="AA7" s="167">
        <f t="shared" si="11"/>
        <v>1.6666666666666665</v>
      </c>
      <c r="AB7" s="167">
        <f t="shared" si="12"/>
        <v>3.6</v>
      </c>
      <c r="AC7" s="167">
        <f t="shared" si="13"/>
        <v>4.8</v>
      </c>
      <c r="AD7" s="11"/>
      <c r="AH7" s="11"/>
    </row>
    <row r="8" spans="1:39">
      <c r="A8" s="522">
        <v>7</v>
      </c>
      <c r="B8" s="25">
        <v>46290</v>
      </c>
      <c r="C8" s="158">
        <v>43</v>
      </c>
      <c r="D8" s="25" t="s">
        <v>575</v>
      </c>
      <c r="E8" s="25" t="s">
        <v>588</v>
      </c>
      <c r="F8" s="25" t="s">
        <v>589</v>
      </c>
      <c r="G8" s="158">
        <v>2</v>
      </c>
      <c r="H8" s="158">
        <v>1</v>
      </c>
      <c r="I8" s="158">
        <v>1</v>
      </c>
      <c r="J8" s="158">
        <v>2</v>
      </c>
      <c r="K8" s="158">
        <v>16</v>
      </c>
      <c r="L8" s="158">
        <v>5</v>
      </c>
      <c r="M8" s="158">
        <v>9</v>
      </c>
      <c r="N8" s="158">
        <v>2</v>
      </c>
      <c r="O8" s="680" t="s">
        <v>550</v>
      </c>
      <c r="P8" s="524" t="str">
        <f t="shared" si="7"/>
        <v/>
      </c>
      <c r="Q8" s="32" t="str">
        <f t="shared" si="0"/>
        <v>Sweden</v>
      </c>
      <c r="R8" s="32" t="str">
        <f t="shared" si="1"/>
        <v>Romania</v>
      </c>
      <c r="S8" s="31" t="str">
        <f t="shared" si="2"/>
        <v>2</v>
      </c>
      <c r="T8" s="32" t="str">
        <f t="shared" si="3"/>
        <v>1</v>
      </c>
      <c r="U8" s="27" t="str">
        <f t="shared" si="8"/>
        <v>Sweden  v  Romania   1/2  16/5  9/2</v>
      </c>
      <c r="V8" s="30" t="str">
        <f t="shared" si="9"/>
        <v xml:space="preserve">Sweden 2-1 Romania </v>
      </c>
      <c r="W8" t="str">
        <f t="shared" si="10"/>
        <v>1/2  16/5  9/2</v>
      </c>
      <c r="X8" s="17" t="str">
        <f t="shared" si="4"/>
        <v>1/2</v>
      </c>
      <c r="Y8" s="17" t="str">
        <f t="shared" si="5"/>
        <v>16/5</v>
      </c>
      <c r="Z8" s="17" t="str">
        <f t="shared" si="6"/>
        <v>9/2</v>
      </c>
      <c r="AA8" s="167">
        <f t="shared" si="11"/>
        <v>1.5</v>
      </c>
      <c r="AB8" s="167">
        <f t="shared" si="12"/>
        <v>4.2</v>
      </c>
      <c r="AC8" s="167">
        <f t="shared" si="13"/>
        <v>5.5</v>
      </c>
      <c r="AD8" s="11"/>
      <c r="AH8" s="11"/>
    </row>
    <row r="9" spans="1:39">
      <c r="A9" s="522">
        <v>8</v>
      </c>
      <c r="B9" s="25">
        <v>46290</v>
      </c>
      <c r="C9" s="158">
        <v>43</v>
      </c>
      <c r="D9" s="25" t="s">
        <v>575</v>
      </c>
      <c r="E9" s="25" t="s">
        <v>590</v>
      </c>
      <c r="F9" s="25" t="s">
        <v>591</v>
      </c>
      <c r="G9" s="158">
        <v>0</v>
      </c>
      <c r="H9" s="158">
        <v>1</v>
      </c>
      <c r="I9" s="158">
        <v>5</v>
      </c>
      <c r="J9" s="158">
        <v>1</v>
      </c>
      <c r="K9" s="158">
        <v>10</v>
      </c>
      <c r="L9" s="158">
        <v>3</v>
      </c>
      <c r="M9" s="158">
        <v>4</v>
      </c>
      <c r="N9" s="158">
        <v>9</v>
      </c>
      <c r="O9" s="680" t="s">
        <v>550</v>
      </c>
      <c r="P9" s="524" t="str">
        <f t="shared" si="7"/>
        <v/>
      </c>
      <c r="Q9" s="32" t="str">
        <f t="shared" si="0"/>
        <v>Turkey</v>
      </c>
      <c r="R9" s="32" t="str">
        <f t="shared" si="1"/>
        <v>France</v>
      </c>
      <c r="S9" s="31" t="str">
        <f t="shared" si="2"/>
        <v>0</v>
      </c>
      <c r="T9" s="32" t="str">
        <f t="shared" si="3"/>
        <v>1</v>
      </c>
      <c r="U9" s="27" t="str">
        <f t="shared" si="8"/>
        <v>Turkey  v  France   5/1  10/3  4/9</v>
      </c>
      <c r="V9" s="30" t="str">
        <f t="shared" si="9"/>
        <v xml:space="preserve">Turkey 0-1 France </v>
      </c>
      <c r="W9" t="str">
        <f t="shared" si="10"/>
        <v>5/1  10/3  4/9</v>
      </c>
      <c r="X9" s="17" t="str">
        <f t="shared" si="4"/>
        <v>5/1</v>
      </c>
      <c r="Y9" s="17" t="str">
        <f t="shared" si="5"/>
        <v>10/3</v>
      </c>
      <c r="Z9" s="17" t="str">
        <f t="shared" si="6"/>
        <v>4/9</v>
      </c>
      <c r="AA9" s="167">
        <f t="shared" si="11"/>
        <v>6</v>
      </c>
      <c r="AB9" s="167">
        <f t="shared" si="12"/>
        <v>4.3333333333333339</v>
      </c>
      <c r="AC9" s="167">
        <f t="shared" si="13"/>
        <v>1.4444444444444444</v>
      </c>
      <c r="AD9" s="11"/>
      <c r="AH9" s="11"/>
    </row>
    <row r="10" spans="1:39">
      <c r="A10" s="522">
        <v>9</v>
      </c>
      <c r="B10" s="25">
        <v>46291</v>
      </c>
      <c r="C10" s="158">
        <v>12</v>
      </c>
      <c r="D10" s="25" t="s">
        <v>551</v>
      </c>
      <c r="E10" s="25" t="s">
        <v>552</v>
      </c>
      <c r="F10" s="25" t="s">
        <v>592</v>
      </c>
      <c r="G10" s="158">
        <v>1</v>
      </c>
      <c r="H10" s="158">
        <v>1</v>
      </c>
      <c r="I10" s="158">
        <v>4</v>
      </c>
      <c r="J10" s="158">
        <v>5</v>
      </c>
      <c r="K10" s="158">
        <v>12</v>
      </c>
      <c r="L10" s="158">
        <v>5</v>
      </c>
      <c r="M10" s="158">
        <v>3</v>
      </c>
      <c r="N10" s="158">
        <v>1</v>
      </c>
      <c r="O10" s="680" t="s">
        <v>550</v>
      </c>
      <c r="P10" s="524" t="str">
        <f t="shared" si="7"/>
        <v/>
      </c>
      <c r="Q10" s="32" t="str">
        <f t="shared" si="0"/>
        <v>Cambridge</v>
      </c>
      <c r="R10" s="32" t="str">
        <f t="shared" si="1"/>
        <v>Wimbledon</v>
      </c>
      <c r="S10" s="31" t="str">
        <f t="shared" si="2"/>
        <v>1</v>
      </c>
      <c r="T10" s="32" t="str">
        <f t="shared" si="3"/>
        <v>1</v>
      </c>
      <c r="U10" s="27" t="str">
        <f t="shared" si="8"/>
        <v>Cambridge  v  Wimbledon   4/5  12/5  3/1</v>
      </c>
      <c r="V10" s="30" t="str">
        <f t="shared" si="9"/>
        <v xml:space="preserve">Cambridge 1-1 Wimbledon </v>
      </c>
      <c r="W10" t="str">
        <f t="shared" si="10"/>
        <v>4/5  12/5  3/1</v>
      </c>
      <c r="X10" s="17" t="str">
        <f t="shared" si="4"/>
        <v>4/5</v>
      </c>
      <c r="Y10" s="17" t="str">
        <f t="shared" si="5"/>
        <v>12/5</v>
      </c>
      <c r="Z10" s="17" t="str">
        <f t="shared" si="6"/>
        <v>3/1</v>
      </c>
      <c r="AA10" s="167">
        <f t="shared" si="11"/>
        <v>1.8</v>
      </c>
      <c r="AB10" s="167">
        <f t="shared" si="12"/>
        <v>3.4</v>
      </c>
      <c r="AC10" s="167">
        <f t="shared" si="13"/>
        <v>4</v>
      </c>
      <c r="AD10" s="11"/>
      <c r="AH10" s="11"/>
    </row>
    <row r="11" spans="1:39">
      <c r="A11" s="522">
        <v>10</v>
      </c>
      <c r="B11" s="25">
        <v>46291</v>
      </c>
      <c r="C11" s="158">
        <v>12</v>
      </c>
      <c r="D11" s="25" t="s">
        <v>551</v>
      </c>
      <c r="E11" s="25" t="s">
        <v>554</v>
      </c>
      <c r="F11" s="25" t="s">
        <v>524</v>
      </c>
      <c r="G11" s="158">
        <v>0</v>
      </c>
      <c r="H11" s="158">
        <v>1</v>
      </c>
      <c r="I11" s="158">
        <v>8</v>
      </c>
      <c r="J11" s="158">
        <v>13</v>
      </c>
      <c r="K11" s="158">
        <v>14</v>
      </c>
      <c r="L11" s="158">
        <v>5</v>
      </c>
      <c r="M11" s="158">
        <v>18</v>
      </c>
      <c r="N11" s="158">
        <v>5</v>
      </c>
      <c r="O11" s="680" t="s">
        <v>550</v>
      </c>
      <c r="P11" s="524" t="str">
        <f t="shared" si="7"/>
        <v/>
      </c>
      <c r="Q11" s="32" t="str">
        <f t="shared" si="0"/>
        <v>Plymouth</v>
      </c>
      <c r="R11" s="32" t="str">
        <f t="shared" si="1"/>
        <v>Burton</v>
      </c>
      <c r="S11" s="31" t="str">
        <f t="shared" si="2"/>
        <v>0</v>
      </c>
      <c r="T11" s="32" t="str">
        <f t="shared" si="3"/>
        <v>1</v>
      </c>
      <c r="U11" s="27" t="str">
        <f t="shared" si="8"/>
        <v>Plymouth  v  Burton   8/13  14/5  18/5</v>
      </c>
      <c r="V11" s="30" t="str">
        <f t="shared" si="9"/>
        <v xml:space="preserve">Plymouth 0-1 Burton </v>
      </c>
      <c r="W11" t="str">
        <f t="shared" si="10"/>
        <v>8/13  14/5  18/5</v>
      </c>
      <c r="X11" s="17" t="str">
        <f t="shared" si="4"/>
        <v>8/13</v>
      </c>
      <c r="Y11" s="17" t="str">
        <f t="shared" si="5"/>
        <v>14/5</v>
      </c>
      <c r="Z11" s="17" t="str">
        <f t="shared" si="6"/>
        <v>18/5</v>
      </c>
      <c r="AA11" s="167">
        <f t="shared" si="11"/>
        <v>1.6153846153846154</v>
      </c>
      <c r="AB11" s="167">
        <f t="shared" si="12"/>
        <v>3.8</v>
      </c>
      <c r="AC11" s="167">
        <f t="shared" si="13"/>
        <v>4.5999999999999996</v>
      </c>
      <c r="AD11" s="11"/>
      <c r="AH11" s="11"/>
    </row>
    <row r="12" spans="1:39">
      <c r="A12" s="522">
        <v>11</v>
      </c>
      <c r="B12" s="25">
        <v>46291</v>
      </c>
      <c r="C12" s="158">
        <v>12</v>
      </c>
      <c r="D12" s="25" t="s">
        <v>551</v>
      </c>
      <c r="E12" s="25" t="s">
        <v>555</v>
      </c>
      <c r="F12" s="25" t="s">
        <v>553</v>
      </c>
      <c r="G12" s="158">
        <v>1</v>
      </c>
      <c r="H12" s="158">
        <v>0</v>
      </c>
      <c r="I12" s="158">
        <v>4</v>
      </c>
      <c r="J12" s="158">
        <v>11</v>
      </c>
      <c r="K12" s="158">
        <v>19</v>
      </c>
      <c r="L12" s="158">
        <v>5</v>
      </c>
      <c r="M12" s="158">
        <v>11</v>
      </c>
      <c r="N12" s="158">
        <v>2</v>
      </c>
      <c r="O12" s="680" t="s">
        <v>550</v>
      </c>
      <c r="P12" s="524" t="str">
        <f t="shared" si="7"/>
        <v/>
      </c>
      <c r="Q12" s="32" t="str">
        <f t="shared" si="0"/>
        <v>Stockport</v>
      </c>
      <c r="R12" s="32" t="str">
        <f t="shared" si="1"/>
        <v>Peterbro</v>
      </c>
      <c r="S12" s="31" t="str">
        <f t="shared" si="2"/>
        <v>1</v>
      </c>
      <c r="T12" s="32" t="str">
        <f t="shared" si="3"/>
        <v>0</v>
      </c>
      <c r="U12" s="27" t="str">
        <f t="shared" si="8"/>
        <v>Stockport  v  Peterbro   4/11  19/5  11/2</v>
      </c>
      <c r="V12" s="30" t="str">
        <f t="shared" si="9"/>
        <v xml:space="preserve">Stockport 1-0 Peterbro </v>
      </c>
      <c r="W12" t="str">
        <f t="shared" si="10"/>
        <v>4/11  19/5  11/2</v>
      </c>
      <c r="X12" s="17" t="str">
        <f t="shared" si="4"/>
        <v>4/11</v>
      </c>
      <c r="Y12" s="17" t="str">
        <f t="shared" si="5"/>
        <v>19/5</v>
      </c>
      <c r="Z12" s="17" t="str">
        <f t="shared" si="6"/>
        <v>11/2</v>
      </c>
      <c r="AA12" s="167">
        <f t="shared" si="11"/>
        <v>1.3636363636363638</v>
      </c>
      <c r="AB12" s="167">
        <f t="shared" si="12"/>
        <v>4.8</v>
      </c>
      <c r="AC12" s="167">
        <f t="shared" si="13"/>
        <v>6.5</v>
      </c>
      <c r="AD12" s="11"/>
      <c r="AH12" s="11"/>
    </row>
    <row r="13" spans="1:39">
      <c r="A13" s="522">
        <v>12</v>
      </c>
      <c r="B13" s="25">
        <v>46291</v>
      </c>
      <c r="C13" s="158">
        <v>12</v>
      </c>
      <c r="D13" s="25" t="s">
        <v>551</v>
      </c>
      <c r="E13" s="25" t="s">
        <v>408</v>
      </c>
      <c r="F13" s="25" t="s">
        <v>549</v>
      </c>
      <c r="G13" s="158">
        <v>2</v>
      </c>
      <c r="H13" s="158">
        <v>2</v>
      </c>
      <c r="I13" s="158">
        <v>29</v>
      </c>
      <c r="J13" s="158">
        <v>20</v>
      </c>
      <c r="K13" s="158">
        <v>12</v>
      </c>
      <c r="L13" s="158">
        <v>5</v>
      </c>
      <c r="M13" s="158">
        <v>6</v>
      </c>
      <c r="N13" s="158">
        <v>4</v>
      </c>
      <c r="O13" s="680" t="s">
        <v>550</v>
      </c>
      <c r="P13" s="524" t="str">
        <f t="shared" si="7"/>
        <v/>
      </c>
      <c r="Q13" s="32" t="str">
        <f t="shared" si="0"/>
        <v>Wycombe</v>
      </c>
      <c r="R13" s="32" t="str">
        <f t="shared" si="1"/>
        <v>Reading</v>
      </c>
      <c r="S13" s="31" t="str">
        <f t="shared" si="2"/>
        <v>2</v>
      </c>
      <c r="T13" s="32" t="str">
        <f t="shared" si="3"/>
        <v>2</v>
      </c>
      <c r="U13" s="27" t="str">
        <f t="shared" si="8"/>
        <v>Wycombe  v  Reading   29/20  12/5  6/4</v>
      </c>
      <c r="V13" s="30" t="str">
        <f t="shared" si="9"/>
        <v xml:space="preserve">Wycombe 2-2 Reading </v>
      </c>
      <c r="W13" t="str">
        <f t="shared" si="10"/>
        <v>29/20  12/5  6/4</v>
      </c>
      <c r="X13" s="17" t="str">
        <f t="shared" si="4"/>
        <v>29/20</v>
      </c>
      <c r="Y13" s="17" t="str">
        <f t="shared" si="5"/>
        <v>12/5</v>
      </c>
      <c r="Z13" s="17" t="str">
        <f t="shared" si="6"/>
        <v>6/4</v>
      </c>
      <c r="AA13" s="167">
        <f t="shared" si="11"/>
        <v>2.4500000000000002</v>
      </c>
      <c r="AB13" s="167">
        <f t="shared" si="12"/>
        <v>3.4</v>
      </c>
      <c r="AC13" s="167">
        <f t="shared" si="13"/>
        <v>2.5</v>
      </c>
      <c r="AD13" s="11"/>
      <c r="AH13" s="11"/>
    </row>
    <row r="14" spans="1:39">
      <c r="A14" s="522">
        <v>13</v>
      </c>
      <c r="B14" s="25">
        <v>46291</v>
      </c>
      <c r="C14" s="158">
        <v>13</v>
      </c>
      <c r="D14" s="25" t="s">
        <v>556</v>
      </c>
      <c r="E14" s="21" t="s">
        <v>562</v>
      </c>
      <c r="F14" s="21" t="s">
        <v>529</v>
      </c>
      <c r="G14" s="158">
        <v>1</v>
      </c>
      <c r="H14" s="158">
        <v>0</v>
      </c>
      <c r="I14" s="158">
        <v>8</v>
      </c>
      <c r="J14" s="158">
        <v>11</v>
      </c>
      <c r="K14" s="158">
        <v>14</v>
      </c>
      <c r="L14" s="158">
        <v>5</v>
      </c>
      <c r="M14" s="158">
        <v>3</v>
      </c>
      <c r="N14" s="158">
        <v>1</v>
      </c>
      <c r="O14" s="679" t="s">
        <v>550</v>
      </c>
      <c r="P14" s="524" t="str">
        <f t="shared" si="7"/>
        <v/>
      </c>
      <c r="Q14" s="32" t="str">
        <f t="shared" si="0"/>
        <v>Bristol R</v>
      </c>
      <c r="R14" s="32" t="str">
        <f t="shared" si="1"/>
        <v>Exeter</v>
      </c>
      <c r="S14" s="31" t="str">
        <f t="shared" si="2"/>
        <v>1</v>
      </c>
      <c r="T14" s="32" t="str">
        <f t="shared" si="3"/>
        <v>0</v>
      </c>
      <c r="U14" s="27" t="str">
        <f t="shared" si="8"/>
        <v>Bristol R  v  Exeter   8/11  14/5  3/1</v>
      </c>
      <c r="V14" s="30" t="str">
        <f t="shared" si="9"/>
        <v xml:space="preserve">Bristol R 1-0 Exeter </v>
      </c>
      <c r="W14" t="str">
        <f t="shared" si="10"/>
        <v>8/11  14/5  3/1</v>
      </c>
      <c r="X14" s="17" t="str">
        <f t="shared" si="4"/>
        <v>8/11</v>
      </c>
      <c r="Y14" s="17" t="str">
        <f t="shared" si="5"/>
        <v>14/5</v>
      </c>
      <c r="Z14" s="17" t="str">
        <f t="shared" si="6"/>
        <v>3/1</v>
      </c>
      <c r="AA14" s="167">
        <f t="shared" si="11"/>
        <v>1.7272727272727273</v>
      </c>
      <c r="AB14" s="167">
        <f t="shared" si="12"/>
        <v>3.8</v>
      </c>
      <c r="AC14" s="167">
        <f t="shared" si="13"/>
        <v>4</v>
      </c>
      <c r="AD14" s="11"/>
      <c r="AH14" s="11"/>
    </row>
    <row r="15" spans="1:39">
      <c r="A15" s="522">
        <v>14</v>
      </c>
      <c r="B15" s="25">
        <v>46291</v>
      </c>
      <c r="C15" s="158">
        <v>13</v>
      </c>
      <c r="D15" s="25" t="s">
        <v>556</v>
      </c>
      <c r="E15" s="25" t="s">
        <v>559</v>
      </c>
      <c r="F15" s="21" t="s">
        <v>565</v>
      </c>
      <c r="G15" s="158">
        <v>2</v>
      </c>
      <c r="H15" s="158">
        <v>1</v>
      </c>
      <c r="I15" s="158">
        <v>19</v>
      </c>
      <c r="J15" s="158">
        <v>10</v>
      </c>
      <c r="K15" s="158">
        <v>5</v>
      </c>
      <c r="L15" s="158">
        <v>2</v>
      </c>
      <c r="M15" s="158">
        <v>23</v>
      </c>
      <c r="N15" s="158">
        <v>20</v>
      </c>
      <c r="O15" s="679" t="s">
        <v>550</v>
      </c>
      <c r="P15" s="524" t="str">
        <f t="shared" si="7"/>
        <v/>
      </c>
      <c r="Q15" s="32" t="str">
        <f t="shared" si="0"/>
        <v>Cheltenham</v>
      </c>
      <c r="R15" s="32" t="str">
        <f t="shared" si="1"/>
        <v>Chesterfield</v>
      </c>
      <c r="S15" s="31" t="str">
        <f t="shared" si="2"/>
        <v>2</v>
      </c>
      <c r="T15" s="32" t="str">
        <f t="shared" si="3"/>
        <v>1</v>
      </c>
      <c r="U15" s="27" t="str">
        <f t="shared" si="8"/>
        <v>Cheltenham  v  Chesterfield   19/10  5/2  23/20</v>
      </c>
      <c r="V15" s="30" t="str">
        <f t="shared" si="9"/>
        <v xml:space="preserve">Cheltenham 2-1 Chesterfield </v>
      </c>
      <c r="W15" t="str">
        <f t="shared" si="10"/>
        <v>19/10  5/2  23/20</v>
      </c>
      <c r="X15" s="17" t="str">
        <f t="shared" si="4"/>
        <v>19/10</v>
      </c>
      <c r="Y15" s="17" t="str">
        <f t="shared" si="5"/>
        <v>5/2</v>
      </c>
      <c r="Z15" s="17" t="str">
        <f t="shared" si="6"/>
        <v>23/20</v>
      </c>
      <c r="AA15" s="167">
        <f t="shared" si="11"/>
        <v>2.9</v>
      </c>
      <c r="AB15" s="167">
        <f t="shared" si="12"/>
        <v>3.5</v>
      </c>
      <c r="AC15" s="167">
        <f t="shared" si="13"/>
        <v>2.15</v>
      </c>
      <c r="AD15" s="11"/>
      <c r="AH15" s="11"/>
    </row>
    <row r="16" spans="1:39">
      <c r="A16" s="522">
        <v>15</v>
      </c>
      <c r="B16" s="25">
        <v>46291</v>
      </c>
      <c r="C16" s="158">
        <v>13</v>
      </c>
      <c r="D16" s="25" t="s">
        <v>556</v>
      </c>
      <c r="E16" s="25" t="s">
        <v>593</v>
      </c>
      <c r="F16" s="25" t="s">
        <v>569</v>
      </c>
      <c r="G16" s="158">
        <v>1</v>
      </c>
      <c r="H16" s="158">
        <v>2</v>
      </c>
      <c r="I16" s="158">
        <v>17</v>
      </c>
      <c r="J16" s="158">
        <v>20</v>
      </c>
      <c r="K16" s="158">
        <v>5</v>
      </c>
      <c r="L16" s="158">
        <v>2</v>
      </c>
      <c r="M16" s="158">
        <v>14</v>
      </c>
      <c r="N16" s="158">
        <v>5</v>
      </c>
      <c r="O16" s="679" t="s">
        <v>550</v>
      </c>
      <c r="P16" s="524" t="str">
        <f t="shared" si="7"/>
        <v/>
      </c>
      <c r="Q16" s="32" t="str">
        <f t="shared" si="0"/>
        <v>Fleetwood</v>
      </c>
      <c r="R16" s="32" t="str">
        <f t="shared" si="1"/>
        <v>Rochdale</v>
      </c>
      <c r="S16" s="31" t="str">
        <f t="shared" si="2"/>
        <v>1</v>
      </c>
      <c r="T16" s="32" t="str">
        <f t="shared" si="3"/>
        <v>2</v>
      </c>
      <c r="U16" s="27" t="str">
        <f t="shared" si="8"/>
        <v>Fleetwood  v  Rochdale   17/20  5/2  14/5</v>
      </c>
      <c r="V16" s="30" t="str">
        <f t="shared" si="9"/>
        <v xml:space="preserve">Fleetwood 1-2 Rochdale </v>
      </c>
      <c r="W16" t="str">
        <f t="shared" si="10"/>
        <v>17/20  5/2  14/5</v>
      </c>
      <c r="X16" s="17" t="str">
        <f t="shared" si="4"/>
        <v>17/20</v>
      </c>
      <c r="Y16" s="17" t="str">
        <f t="shared" si="5"/>
        <v>5/2</v>
      </c>
      <c r="Z16" s="17" t="str">
        <f t="shared" si="6"/>
        <v>14/5</v>
      </c>
      <c r="AA16" s="167">
        <f t="shared" si="11"/>
        <v>1.85</v>
      </c>
      <c r="AB16" s="167">
        <f t="shared" si="12"/>
        <v>3.5</v>
      </c>
      <c r="AC16" s="167">
        <f t="shared" si="13"/>
        <v>3.8</v>
      </c>
      <c r="AD16" s="11"/>
      <c r="AH16" s="11"/>
    </row>
    <row r="17" spans="1:34">
      <c r="A17" s="522">
        <v>16</v>
      </c>
      <c r="B17" s="25">
        <v>46291</v>
      </c>
      <c r="C17" s="158">
        <v>13</v>
      </c>
      <c r="D17" s="25" t="s">
        <v>556</v>
      </c>
      <c r="E17" s="25" t="s">
        <v>563</v>
      </c>
      <c r="F17" s="25" t="s">
        <v>561</v>
      </c>
      <c r="G17" s="158">
        <v>2</v>
      </c>
      <c r="H17" s="158">
        <v>1</v>
      </c>
      <c r="I17" s="158">
        <v>3</v>
      </c>
      <c r="J17" s="158">
        <v>1</v>
      </c>
      <c r="K17" s="158">
        <v>12</v>
      </c>
      <c r="L17" s="158">
        <v>5</v>
      </c>
      <c r="M17" s="158">
        <v>4</v>
      </c>
      <c r="N17" s="158">
        <v>5</v>
      </c>
      <c r="O17" s="679" t="s">
        <v>550</v>
      </c>
      <c r="P17" s="524" t="str">
        <f t="shared" si="7"/>
        <v/>
      </c>
      <c r="Q17" s="32" t="str">
        <f t="shared" si="0"/>
        <v>Newport</v>
      </c>
      <c r="R17" s="32" t="str">
        <f t="shared" si="1"/>
        <v>Grimsby</v>
      </c>
      <c r="S17" s="31" t="str">
        <f t="shared" si="2"/>
        <v>2</v>
      </c>
      <c r="T17" s="32" t="str">
        <f t="shared" si="3"/>
        <v>1</v>
      </c>
      <c r="U17" s="27" t="str">
        <f t="shared" si="8"/>
        <v>Newport  v  Grimsby   3/1  12/5  4/5</v>
      </c>
      <c r="V17" s="30" t="str">
        <f t="shared" si="9"/>
        <v xml:space="preserve">Newport 2-1 Grimsby </v>
      </c>
      <c r="W17" t="str">
        <f t="shared" si="10"/>
        <v>3/1  12/5  4/5</v>
      </c>
      <c r="X17" s="17" t="str">
        <f t="shared" si="4"/>
        <v>3/1</v>
      </c>
      <c r="Y17" s="17" t="str">
        <f t="shared" si="5"/>
        <v>12/5</v>
      </c>
      <c r="Z17" s="17" t="str">
        <f t="shared" si="6"/>
        <v>4/5</v>
      </c>
      <c r="AA17" s="167">
        <f t="shared" si="11"/>
        <v>4</v>
      </c>
      <c r="AB17" s="167">
        <f t="shared" si="12"/>
        <v>3.4</v>
      </c>
      <c r="AC17" s="167">
        <f t="shared" si="13"/>
        <v>1.8</v>
      </c>
      <c r="AD17" s="11"/>
      <c r="AH17" s="11"/>
    </row>
    <row r="18" spans="1:34">
      <c r="A18" s="522">
        <v>17</v>
      </c>
      <c r="B18" s="25">
        <v>46291</v>
      </c>
      <c r="C18" s="158">
        <v>13</v>
      </c>
      <c r="D18" s="25" t="s">
        <v>556</v>
      </c>
      <c r="E18" s="21" t="s">
        <v>564</v>
      </c>
      <c r="F18" s="25" t="s">
        <v>530</v>
      </c>
      <c r="G18" s="158">
        <v>1</v>
      </c>
      <c r="H18" s="158">
        <v>4</v>
      </c>
      <c r="I18" s="158">
        <v>6</v>
      </c>
      <c r="J18" s="158">
        <v>4</v>
      </c>
      <c r="K18" s="158">
        <v>13</v>
      </c>
      <c r="L18" s="158">
        <v>5</v>
      </c>
      <c r="M18" s="158">
        <v>17</v>
      </c>
      <c r="N18" s="158">
        <v>20</v>
      </c>
      <c r="O18" s="679" t="s">
        <v>550</v>
      </c>
      <c r="P18" s="524" t="str">
        <f t="shared" si="7"/>
        <v/>
      </c>
      <c r="Q18" s="32" t="str">
        <f t="shared" si="0"/>
        <v>Oldham</v>
      </c>
      <c r="R18" s="32" t="str">
        <f t="shared" si="1"/>
        <v>Salford</v>
      </c>
      <c r="S18" s="31" t="str">
        <f t="shared" si="2"/>
        <v>1</v>
      </c>
      <c r="T18" s="32" t="str">
        <f t="shared" si="3"/>
        <v>4</v>
      </c>
      <c r="U18" s="27" t="str">
        <f t="shared" si="8"/>
        <v>Oldham  v  Salford   6/4  13/5  17/20</v>
      </c>
      <c r="V18" s="30" t="str">
        <f t="shared" si="9"/>
        <v xml:space="preserve">Oldham 1-4 Salford </v>
      </c>
      <c r="W18" t="str">
        <f t="shared" si="10"/>
        <v>6/4  13/5  17/20</v>
      </c>
      <c r="X18" s="17" t="str">
        <f t="shared" si="4"/>
        <v>6/4</v>
      </c>
      <c r="Y18" s="17" t="str">
        <f t="shared" si="5"/>
        <v>13/5</v>
      </c>
      <c r="Z18" s="17" t="str">
        <f t="shared" si="6"/>
        <v>17/20</v>
      </c>
      <c r="AA18" s="167">
        <f t="shared" si="11"/>
        <v>2.5</v>
      </c>
      <c r="AB18" s="167">
        <f t="shared" si="12"/>
        <v>3.6</v>
      </c>
      <c r="AC18" s="167">
        <f t="shared" si="13"/>
        <v>1.85</v>
      </c>
      <c r="AD18" s="11"/>
      <c r="AH18" s="11"/>
    </row>
    <row r="19" spans="1:34">
      <c r="A19" s="522">
        <v>18</v>
      </c>
      <c r="B19" s="25">
        <v>46291</v>
      </c>
      <c r="C19" s="158">
        <v>13</v>
      </c>
      <c r="D19" s="25" t="s">
        <v>556</v>
      </c>
      <c r="E19" s="25" t="s">
        <v>566</v>
      </c>
      <c r="F19" s="25" t="s">
        <v>531</v>
      </c>
      <c r="G19" s="158">
        <v>1</v>
      </c>
      <c r="H19" s="158">
        <v>1</v>
      </c>
      <c r="I19" s="158">
        <v>11</v>
      </c>
      <c r="J19" s="158">
        <v>10</v>
      </c>
      <c r="K19" s="158">
        <v>12</v>
      </c>
      <c r="L19" s="158">
        <v>5</v>
      </c>
      <c r="M19" s="158">
        <v>21</v>
      </c>
      <c r="N19" s="158">
        <v>10</v>
      </c>
      <c r="O19" s="680" t="s">
        <v>550</v>
      </c>
      <c r="P19" s="524" t="str">
        <f t="shared" si="7"/>
        <v/>
      </c>
      <c r="Q19" s="32" t="str">
        <f t="shared" si="0"/>
        <v>Rotherham</v>
      </c>
      <c r="R19" s="32" t="str">
        <f t="shared" si="1"/>
        <v>Crewe</v>
      </c>
      <c r="S19" s="31" t="str">
        <f t="shared" si="2"/>
        <v>1</v>
      </c>
      <c r="T19" s="32" t="str">
        <f t="shared" si="3"/>
        <v>1</v>
      </c>
      <c r="U19" s="27" t="str">
        <f t="shared" si="8"/>
        <v>Rotherham  v  Crewe   11/10  12/5  21/10</v>
      </c>
      <c r="V19" s="30" t="str">
        <f t="shared" si="9"/>
        <v xml:space="preserve">Rotherham 1-1 Crewe </v>
      </c>
      <c r="W19" t="str">
        <f t="shared" si="10"/>
        <v>11/10  12/5  21/10</v>
      </c>
      <c r="X19" s="17" t="str">
        <f t="shared" si="4"/>
        <v>11/10</v>
      </c>
      <c r="Y19" s="17" t="str">
        <f t="shared" si="5"/>
        <v>12/5</v>
      </c>
      <c r="Z19" s="17" t="str">
        <f t="shared" si="6"/>
        <v>21/10</v>
      </c>
      <c r="AA19" s="167">
        <f t="shared" si="11"/>
        <v>2.1</v>
      </c>
      <c r="AB19" s="167">
        <f t="shared" si="12"/>
        <v>3.4</v>
      </c>
      <c r="AC19" s="167">
        <f t="shared" si="13"/>
        <v>3.1</v>
      </c>
      <c r="AD19" s="11"/>
      <c r="AH19" s="11"/>
    </row>
    <row r="20" spans="1:34">
      <c r="A20" s="522">
        <v>19</v>
      </c>
      <c r="B20" s="25">
        <v>46291</v>
      </c>
      <c r="C20" s="158">
        <v>13</v>
      </c>
      <c r="D20" s="25" t="s">
        <v>556</v>
      </c>
      <c r="E20" s="25" t="s">
        <v>567</v>
      </c>
      <c r="F20" s="25" t="s">
        <v>558</v>
      </c>
      <c r="G20" s="158">
        <v>2</v>
      </c>
      <c r="H20" s="158">
        <v>2</v>
      </c>
      <c r="I20" s="158">
        <v>6</v>
      </c>
      <c r="J20" s="158">
        <v>4</v>
      </c>
      <c r="K20" s="158">
        <v>2</v>
      </c>
      <c r="L20" s="158">
        <v>1</v>
      </c>
      <c r="M20" s="158">
        <v>17</v>
      </c>
      <c r="N20" s="158">
        <v>10</v>
      </c>
      <c r="O20" s="680" t="s">
        <v>550</v>
      </c>
      <c r="P20" s="524" t="str">
        <f t="shared" si="7"/>
        <v/>
      </c>
      <c r="Q20" s="32" t="str">
        <f t="shared" si="0"/>
        <v>Shrewsbury</v>
      </c>
      <c r="R20" s="32" t="str">
        <f t="shared" si="1"/>
        <v>Colchester</v>
      </c>
      <c r="S20" s="31" t="str">
        <f t="shared" si="2"/>
        <v>2</v>
      </c>
      <c r="T20" s="32" t="str">
        <f t="shared" si="3"/>
        <v>2</v>
      </c>
      <c r="U20" s="27" t="str">
        <f t="shared" si="8"/>
        <v>Shrewsbury  v  Colchester   6/4  2/1  17/10</v>
      </c>
      <c r="V20" s="30" t="str">
        <f t="shared" si="9"/>
        <v xml:space="preserve">Shrewsbury 2-2 Colchester </v>
      </c>
      <c r="W20" t="str">
        <f t="shared" si="10"/>
        <v>6/4  2/1  17/10</v>
      </c>
      <c r="X20" s="17" t="str">
        <f t="shared" si="4"/>
        <v>6/4</v>
      </c>
      <c r="Y20" s="17" t="str">
        <f t="shared" si="5"/>
        <v>2/1</v>
      </c>
      <c r="Z20" s="17" t="str">
        <f t="shared" si="6"/>
        <v>17/10</v>
      </c>
      <c r="AA20" s="167">
        <f t="shared" si="11"/>
        <v>2.5</v>
      </c>
      <c r="AB20" s="167">
        <f t="shared" si="12"/>
        <v>3</v>
      </c>
      <c r="AC20" s="167">
        <f t="shared" si="13"/>
        <v>2.7</v>
      </c>
      <c r="AD20" s="11"/>
      <c r="AH20" s="11"/>
    </row>
    <row r="21" spans="1:34">
      <c r="A21" s="522">
        <v>20</v>
      </c>
      <c r="B21" s="25">
        <v>46291</v>
      </c>
      <c r="C21" s="158">
        <v>13</v>
      </c>
      <c r="D21" s="25" t="s">
        <v>556</v>
      </c>
      <c r="E21" s="25" t="s">
        <v>571</v>
      </c>
      <c r="F21" s="25" t="s">
        <v>557</v>
      </c>
      <c r="G21" s="158">
        <v>1</v>
      </c>
      <c r="H21" s="158">
        <v>1</v>
      </c>
      <c r="I21" s="158">
        <v>21</v>
      </c>
      <c r="J21" s="158">
        <v>20</v>
      </c>
      <c r="K21" s="158">
        <v>12</v>
      </c>
      <c r="L21" s="158">
        <v>5</v>
      </c>
      <c r="M21" s="158">
        <v>11</v>
      </c>
      <c r="N21" s="158">
        <v>5</v>
      </c>
      <c r="O21" s="679" t="s">
        <v>550</v>
      </c>
      <c r="P21" s="524" t="str">
        <f t="shared" si="7"/>
        <v/>
      </c>
      <c r="Q21" s="32" t="str">
        <f t="shared" si="0"/>
        <v>Swindon</v>
      </c>
      <c r="R21" s="32" t="str">
        <f t="shared" si="1"/>
        <v>Accrington</v>
      </c>
      <c r="S21" s="31" t="str">
        <f t="shared" si="2"/>
        <v>1</v>
      </c>
      <c r="T21" s="32" t="str">
        <f t="shared" si="3"/>
        <v>1</v>
      </c>
      <c r="U21" s="27" t="str">
        <f t="shared" si="8"/>
        <v>Swindon  v  Accrington   21/20  12/5  11/5</v>
      </c>
      <c r="V21" s="30" t="str">
        <f t="shared" si="9"/>
        <v xml:space="preserve">Swindon 1-1 Accrington </v>
      </c>
      <c r="W21" t="str">
        <f t="shared" si="10"/>
        <v>21/20  12/5  11/5</v>
      </c>
      <c r="X21" s="17" t="str">
        <f t="shared" si="4"/>
        <v>21/20</v>
      </c>
      <c r="Y21" s="17" t="str">
        <f t="shared" si="5"/>
        <v>12/5</v>
      </c>
      <c r="Z21" s="17" t="str">
        <f t="shared" si="6"/>
        <v>11/5</v>
      </c>
      <c r="AA21" s="167">
        <f t="shared" si="11"/>
        <v>2.0499999999999998</v>
      </c>
      <c r="AB21" s="167">
        <f t="shared" si="12"/>
        <v>3.4</v>
      </c>
      <c r="AC21" s="167">
        <f t="shared" si="13"/>
        <v>3.2</v>
      </c>
      <c r="AD21" s="11"/>
      <c r="AH21" s="11"/>
    </row>
    <row r="22" spans="1:34">
      <c r="A22" s="522">
        <v>21</v>
      </c>
      <c r="B22" s="25">
        <v>46291</v>
      </c>
      <c r="C22" s="158">
        <v>13</v>
      </c>
      <c r="D22" s="25" t="s">
        <v>556</v>
      </c>
      <c r="E22" s="25" t="s">
        <v>532</v>
      </c>
      <c r="F22" s="25" t="s">
        <v>568</v>
      </c>
      <c r="G22" s="158">
        <v>1</v>
      </c>
      <c r="H22" s="158">
        <v>1</v>
      </c>
      <c r="I22" s="158">
        <v>6</v>
      </c>
      <c r="J22" s="158">
        <v>4</v>
      </c>
      <c r="K22" s="158">
        <v>21</v>
      </c>
      <c r="L22" s="158">
        <v>10</v>
      </c>
      <c r="M22" s="158">
        <v>17</v>
      </c>
      <c r="N22" s="158">
        <v>10</v>
      </c>
      <c r="O22" s="680" t="s">
        <v>550</v>
      </c>
      <c r="P22" s="524" t="str">
        <f t="shared" si="7"/>
        <v/>
      </c>
      <c r="Q22" s="32" t="str">
        <f t="shared" si="0"/>
        <v>Tranmere</v>
      </c>
      <c r="R22" s="32" t="str">
        <f t="shared" si="1"/>
        <v>Walsall</v>
      </c>
      <c r="S22" s="31" t="str">
        <f t="shared" si="2"/>
        <v>1</v>
      </c>
      <c r="T22" s="32" t="str">
        <f t="shared" si="3"/>
        <v>1</v>
      </c>
      <c r="U22" s="27" t="str">
        <f t="shared" si="8"/>
        <v>Tranmere  v  Walsall   6/4  21/10  17/10</v>
      </c>
      <c r="V22" s="30" t="str">
        <f t="shared" si="9"/>
        <v xml:space="preserve">Tranmere 1-1 Walsall </v>
      </c>
      <c r="W22" t="str">
        <f t="shared" si="10"/>
        <v>6/4  21/10  17/10</v>
      </c>
      <c r="X22" s="17" t="str">
        <f t="shared" si="4"/>
        <v>6/4</v>
      </c>
      <c r="Y22" s="17" t="str">
        <f t="shared" si="5"/>
        <v>21/10</v>
      </c>
      <c r="Z22" s="17" t="str">
        <f t="shared" si="6"/>
        <v>17/10</v>
      </c>
      <c r="AA22" s="167">
        <f t="shared" si="11"/>
        <v>2.5</v>
      </c>
      <c r="AB22" s="167">
        <f t="shared" si="12"/>
        <v>3.1</v>
      </c>
      <c r="AC22" s="167">
        <f t="shared" si="13"/>
        <v>2.7</v>
      </c>
      <c r="AD22" s="11"/>
      <c r="AH22" s="11"/>
    </row>
    <row r="23" spans="1:34">
      <c r="A23" s="522">
        <v>22</v>
      </c>
      <c r="B23" s="25">
        <v>46291</v>
      </c>
      <c r="C23" s="158">
        <v>13</v>
      </c>
      <c r="D23" s="25" t="s">
        <v>556</v>
      </c>
      <c r="E23" s="25" t="s">
        <v>570</v>
      </c>
      <c r="F23" s="25" t="s">
        <v>560</v>
      </c>
      <c r="G23" s="158">
        <v>3</v>
      </c>
      <c r="H23" s="158">
        <v>0</v>
      </c>
      <c r="I23" s="158">
        <v>1</v>
      </c>
      <c r="J23" s="158">
        <v>2</v>
      </c>
      <c r="K23" s="158">
        <v>17</v>
      </c>
      <c r="L23" s="158">
        <v>5</v>
      </c>
      <c r="M23" s="158">
        <v>4</v>
      </c>
      <c r="N23" s="158">
        <v>1</v>
      </c>
      <c r="O23" s="679" t="s">
        <v>550</v>
      </c>
      <c r="P23" s="524" t="str">
        <f t="shared" si="7"/>
        <v/>
      </c>
      <c r="Q23" s="32" t="str">
        <f t="shared" si="0"/>
        <v>York</v>
      </c>
      <c r="R23" s="32" t="str">
        <f t="shared" si="1"/>
        <v>Gillingham</v>
      </c>
      <c r="S23" s="31" t="str">
        <f t="shared" si="2"/>
        <v>3</v>
      </c>
      <c r="T23" s="32" t="str">
        <f t="shared" si="3"/>
        <v>0</v>
      </c>
      <c r="U23" s="27" t="str">
        <f t="shared" si="8"/>
        <v>York  v  Gillingham   1/2  17/5  4/1</v>
      </c>
      <c r="V23" s="30" t="str">
        <f t="shared" si="9"/>
        <v xml:space="preserve">York 3-0 Gillingham </v>
      </c>
      <c r="W23" t="str">
        <f t="shared" si="10"/>
        <v>1/2  17/5  4/1</v>
      </c>
      <c r="X23" s="17" t="str">
        <f t="shared" si="4"/>
        <v>1/2</v>
      </c>
      <c r="Y23" s="17" t="str">
        <f t="shared" si="5"/>
        <v>17/5</v>
      </c>
      <c r="Z23" s="17" t="str">
        <f t="shared" si="6"/>
        <v>4/1</v>
      </c>
      <c r="AA23" s="167">
        <f t="shared" si="11"/>
        <v>1.5</v>
      </c>
      <c r="AB23" s="167">
        <f t="shared" si="12"/>
        <v>4.4000000000000004</v>
      </c>
      <c r="AC23" s="167">
        <f t="shared" si="13"/>
        <v>5</v>
      </c>
      <c r="AD23" s="11"/>
      <c r="AH23" s="11"/>
    </row>
    <row r="24" spans="1:34">
      <c r="A24" s="522">
        <v>23</v>
      </c>
      <c r="B24" s="25">
        <v>46291</v>
      </c>
      <c r="C24" s="158">
        <v>43</v>
      </c>
      <c r="D24" s="25" t="s">
        <v>575</v>
      </c>
      <c r="E24" s="25" t="s">
        <v>594</v>
      </c>
      <c r="F24" s="25" t="s">
        <v>595</v>
      </c>
      <c r="G24" s="158">
        <v>2</v>
      </c>
      <c r="H24" s="158">
        <v>0</v>
      </c>
      <c r="I24" s="158">
        <v>1</v>
      </c>
      <c r="J24" s="158">
        <v>2</v>
      </c>
      <c r="K24" s="158">
        <v>14</v>
      </c>
      <c r="L24" s="158">
        <v>5</v>
      </c>
      <c r="M24" s="158">
        <v>6</v>
      </c>
      <c r="N24" s="158">
        <v>1</v>
      </c>
      <c r="O24" s="679" t="s">
        <v>550</v>
      </c>
      <c r="P24" s="524" t="str">
        <f t="shared" si="7"/>
        <v/>
      </c>
      <c r="Q24" s="32" t="str">
        <f t="shared" si="0"/>
        <v>Albania</v>
      </c>
      <c r="R24" s="32" t="str">
        <f t="shared" si="1"/>
        <v>Belarus</v>
      </c>
      <c r="S24" s="31" t="str">
        <f t="shared" si="2"/>
        <v>2</v>
      </c>
      <c r="T24" s="32" t="str">
        <f t="shared" si="3"/>
        <v>0</v>
      </c>
      <c r="U24" s="27" t="str">
        <f t="shared" si="8"/>
        <v>Albania  v  Belarus   1/2  14/5  6/1</v>
      </c>
      <c r="V24" s="30" t="str">
        <f t="shared" si="9"/>
        <v xml:space="preserve">Albania 2-0 Belarus </v>
      </c>
      <c r="W24" t="str">
        <f t="shared" si="10"/>
        <v>1/2  14/5  6/1</v>
      </c>
      <c r="X24" s="17" t="str">
        <f t="shared" si="4"/>
        <v>1/2</v>
      </c>
      <c r="Y24" s="17" t="str">
        <f t="shared" si="5"/>
        <v>14/5</v>
      </c>
      <c r="Z24" s="17" t="str">
        <f t="shared" si="6"/>
        <v>6/1</v>
      </c>
      <c r="AA24" s="167">
        <f t="shared" si="11"/>
        <v>1.5</v>
      </c>
      <c r="AB24" s="167">
        <f t="shared" si="12"/>
        <v>3.8</v>
      </c>
      <c r="AC24" s="167">
        <f t="shared" si="13"/>
        <v>7</v>
      </c>
      <c r="AD24" s="11"/>
      <c r="AH24" s="11"/>
    </row>
    <row r="25" spans="1:34">
      <c r="A25" s="522">
        <v>24</v>
      </c>
      <c r="B25" s="25">
        <v>46291</v>
      </c>
      <c r="C25" s="158">
        <v>43</v>
      </c>
      <c r="D25" s="25" t="s">
        <v>575</v>
      </c>
      <c r="E25" s="25" t="s">
        <v>596</v>
      </c>
      <c r="F25" s="25" t="s">
        <v>597</v>
      </c>
      <c r="G25" s="158">
        <v>1</v>
      </c>
      <c r="H25" s="158">
        <v>2</v>
      </c>
      <c r="I25" s="158">
        <v>6</v>
      </c>
      <c r="J25" s="158">
        <v>5</v>
      </c>
      <c r="K25" s="158">
        <v>2</v>
      </c>
      <c r="L25" s="158">
        <v>1</v>
      </c>
      <c r="M25" s="158">
        <v>23</v>
      </c>
      <c r="N25" s="158">
        <v>10</v>
      </c>
      <c r="O25" s="679" t="s">
        <v>550</v>
      </c>
      <c r="P25" s="524" t="str">
        <f t="shared" si="7"/>
        <v/>
      </c>
      <c r="Q25" s="32" t="str">
        <f t="shared" si="0"/>
        <v>Bulgaria</v>
      </c>
      <c r="R25" s="32" t="str">
        <f t="shared" si="1"/>
        <v>Luxembourg</v>
      </c>
      <c r="S25" s="31" t="str">
        <f t="shared" si="2"/>
        <v>1</v>
      </c>
      <c r="T25" s="32" t="str">
        <f t="shared" si="3"/>
        <v>2</v>
      </c>
      <c r="U25" s="27" t="str">
        <f t="shared" si="8"/>
        <v>Bulgaria  v  Luxembourg   6/5  2/1  23/10</v>
      </c>
      <c r="V25" s="30" t="str">
        <f t="shared" si="9"/>
        <v xml:space="preserve">Bulgaria 1-2 Luxembourg </v>
      </c>
      <c r="W25" t="str">
        <f t="shared" si="10"/>
        <v>6/5  2/1  23/10</v>
      </c>
      <c r="X25" s="17" t="str">
        <f t="shared" si="4"/>
        <v>6/5</v>
      </c>
      <c r="Y25" s="17" t="str">
        <f t="shared" si="5"/>
        <v>2/1</v>
      </c>
      <c r="Z25" s="17" t="str">
        <f t="shared" si="6"/>
        <v>23/10</v>
      </c>
      <c r="AA25" s="167">
        <f t="shared" si="11"/>
        <v>2.2000000000000002</v>
      </c>
      <c r="AB25" s="167">
        <f t="shared" si="12"/>
        <v>3</v>
      </c>
      <c r="AC25" s="167">
        <f t="shared" si="13"/>
        <v>3.3</v>
      </c>
      <c r="AD25" s="11"/>
      <c r="AH25" s="11"/>
    </row>
    <row r="26" spans="1:34">
      <c r="A26" s="522">
        <v>25</v>
      </c>
      <c r="B26" s="25">
        <v>46291</v>
      </c>
      <c r="C26" s="158">
        <v>43</v>
      </c>
      <c r="D26" s="25" t="s">
        <v>575</v>
      </c>
      <c r="E26" s="25" t="s">
        <v>598</v>
      </c>
      <c r="F26" s="25" t="s">
        <v>599</v>
      </c>
      <c r="G26" s="158">
        <v>1</v>
      </c>
      <c r="H26" s="158">
        <v>2</v>
      </c>
      <c r="I26" s="158">
        <v>11</v>
      </c>
      <c r="J26" s="158">
        <v>5</v>
      </c>
      <c r="K26" s="158">
        <v>23</v>
      </c>
      <c r="L26" s="158">
        <v>10</v>
      </c>
      <c r="M26" s="158">
        <v>23</v>
      </c>
      <c r="N26" s="158">
        <v>20</v>
      </c>
      <c r="O26" s="680" t="s">
        <v>550</v>
      </c>
      <c r="P26" s="524" t="str">
        <f t="shared" si="7"/>
        <v/>
      </c>
      <c r="Q26" s="32" t="str">
        <f t="shared" si="0"/>
        <v>Czech</v>
      </c>
      <c r="R26" s="32" t="str">
        <f t="shared" si="1"/>
        <v>Croatia</v>
      </c>
      <c r="S26" s="31" t="str">
        <f t="shared" si="2"/>
        <v>1</v>
      </c>
      <c r="T26" s="32" t="str">
        <f t="shared" si="3"/>
        <v>2</v>
      </c>
      <c r="U26" s="27" t="str">
        <f t="shared" si="8"/>
        <v>Czech  v  Croatia   11/5  23/10  23/20</v>
      </c>
      <c r="V26" s="30" t="str">
        <f t="shared" si="9"/>
        <v xml:space="preserve">Czech 1-2 Croatia </v>
      </c>
      <c r="W26" t="str">
        <f t="shared" si="10"/>
        <v>11/5  23/10  23/20</v>
      </c>
      <c r="X26" s="17" t="str">
        <f t="shared" si="4"/>
        <v>11/5</v>
      </c>
      <c r="Y26" s="17" t="str">
        <f t="shared" si="5"/>
        <v>23/10</v>
      </c>
      <c r="Z26" s="17" t="str">
        <f t="shared" si="6"/>
        <v>23/20</v>
      </c>
      <c r="AA26" s="167">
        <f t="shared" si="11"/>
        <v>3.2</v>
      </c>
      <c r="AB26" s="167">
        <f t="shared" si="12"/>
        <v>3.3</v>
      </c>
      <c r="AC26" s="167">
        <f t="shared" si="13"/>
        <v>2.15</v>
      </c>
      <c r="AD26" s="11"/>
      <c r="AH26" s="11"/>
    </row>
    <row r="27" spans="1:34">
      <c r="A27" s="522">
        <v>26</v>
      </c>
      <c r="B27" s="25">
        <v>46291</v>
      </c>
      <c r="C27" s="158">
        <v>43</v>
      </c>
      <c r="D27" s="25" t="s">
        <v>575</v>
      </c>
      <c r="E27" s="25" t="s">
        <v>600</v>
      </c>
      <c r="F27" s="25" t="s">
        <v>601</v>
      </c>
      <c r="G27" s="158">
        <v>2</v>
      </c>
      <c r="H27" s="158">
        <v>3</v>
      </c>
      <c r="I27" s="158">
        <v>9</v>
      </c>
      <c r="J27" s="158">
        <v>5</v>
      </c>
      <c r="K27" s="158">
        <v>21</v>
      </c>
      <c r="L27" s="158">
        <v>10</v>
      </c>
      <c r="M27" s="158">
        <v>7</v>
      </c>
      <c r="N27" s="158">
        <v>5</v>
      </c>
      <c r="O27" s="679" t="s">
        <v>550</v>
      </c>
      <c r="P27" s="524" t="str">
        <f t="shared" si="7"/>
        <v/>
      </c>
      <c r="Q27" s="32" t="str">
        <f t="shared" si="0"/>
        <v>England</v>
      </c>
      <c r="R27" s="32" t="str">
        <f t="shared" si="1"/>
        <v>Spain</v>
      </c>
      <c r="S27" s="31" t="str">
        <f t="shared" si="2"/>
        <v>2</v>
      </c>
      <c r="T27" s="32" t="str">
        <f t="shared" si="3"/>
        <v>3</v>
      </c>
      <c r="U27" s="27" t="str">
        <f t="shared" si="8"/>
        <v>England  v  Spain   9/5  21/10  7/5</v>
      </c>
      <c r="V27" s="30" t="str">
        <f t="shared" si="9"/>
        <v xml:space="preserve">England 2-3 Spain </v>
      </c>
      <c r="W27" t="str">
        <f t="shared" si="10"/>
        <v>9/5  21/10  7/5</v>
      </c>
      <c r="X27" s="17" t="str">
        <f t="shared" si="4"/>
        <v>9/5</v>
      </c>
      <c r="Y27" s="17" t="str">
        <f t="shared" si="5"/>
        <v>21/10</v>
      </c>
      <c r="Z27" s="17" t="str">
        <f t="shared" si="6"/>
        <v>7/5</v>
      </c>
      <c r="AA27" s="167">
        <f t="shared" si="11"/>
        <v>2.8</v>
      </c>
      <c r="AB27" s="167">
        <f t="shared" si="12"/>
        <v>3.1</v>
      </c>
      <c r="AC27" s="167">
        <f t="shared" si="13"/>
        <v>2.4</v>
      </c>
      <c r="AD27" s="11"/>
      <c r="AH27" s="11"/>
    </row>
    <row r="28" spans="1:34">
      <c r="A28" s="522">
        <v>27</v>
      </c>
      <c r="B28" s="25">
        <v>46291</v>
      </c>
      <c r="C28" s="158">
        <v>43</v>
      </c>
      <c r="D28" s="25" t="s">
        <v>575</v>
      </c>
      <c r="E28" s="21" t="s">
        <v>602</v>
      </c>
      <c r="F28" s="25" t="s">
        <v>603</v>
      </c>
      <c r="G28" s="158">
        <v>1</v>
      </c>
      <c r="H28" s="158">
        <v>1</v>
      </c>
      <c r="I28" s="158">
        <v>13</v>
      </c>
      <c r="J28" s="158">
        <v>10</v>
      </c>
      <c r="K28" s="158">
        <v>2</v>
      </c>
      <c r="L28" s="158">
        <v>1</v>
      </c>
      <c r="M28" s="158">
        <v>21</v>
      </c>
      <c r="N28" s="158">
        <v>10</v>
      </c>
      <c r="O28" s="680" t="s">
        <v>550</v>
      </c>
      <c r="P28" s="524" t="str">
        <f t="shared" si="7"/>
        <v/>
      </c>
      <c r="Q28" s="32" t="str">
        <f t="shared" si="0"/>
        <v>Faroe Islands</v>
      </c>
      <c r="R28" s="32" t="str">
        <f t="shared" si="1"/>
        <v>Kazakhstan</v>
      </c>
      <c r="S28" s="31" t="str">
        <f t="shared" si="2"/>
        <v>1</v>
      </c>
      <c r="T28" s="32" t="str">
        <f t="shared" si="3"/>
        <v>1</v>
      </c>
      <c r="U28" s="27" t="str">
        <f t="shared" si="8"/>
        <v>Faroe Islands  v  Kazakhstan   13/10  2/1  21/10</v>
      </c>
      <c r="V28" s="30" t="str">
        <f t="shared" si="9"/>
        <v xml:space="preserve">Faroe Islands 1-1 Kazakhstan </v>
      </c>
      <c r="W28" t="str">
        <f t="shared" si="10"/>
        <v>13/10  2/1  21/10</v>
      </c>
      <c r="X28" s="17" t="str">
        <f t="shared" si="4"/>
        <v>13/10</v>
      </c>
      <c r="Y28" s="17" t="str">
        <f t="shared" si="5"/>
        <v>2/1</v>
      </c>
      <c r="Z28" s="17" t="str">
        <f t="shared" si="6"/>
        <v>21/10</v>
      </c>
      <c r="AA28" s="167">
        <f t="shared" si="11"/>
        <v>2.2999999999999998</v>
      </c>
      <c r="AB28" s="167">
        <f t="shared" si="12"/>
        <v>3</v>
      </c>
      <c r="AC28" s="167">
        <f t="shared" si="13"/>
        <v>3.1</v>
      </c>
      <c r="AD28" s="11"/>
      <c r="AH28" s="11"/>
    </row>
    <row r="29" spans="1:34">
      <c r="A29" s="522">
        <v>28</v>
      </c>
      <c r="B29" s="25">
        <v>46291</v>
      </c>
      <c r="C29" s="158">
        <v>43</v>
      </c>
      <c r="D29" s="25" t="s">
        <v>575</v>
      </c>
      <c r="E29" s="25" t="s">
        <v>604</v>
      </c>
      <c r="F29" s="25" t="s">
        <v>605</v>
      </c>
      <c r="G29" s="158">
        <v>1</v>
      </c>
      <c r="H29" s="158">
        <v>1</v>
      </c>
      <c r="I29" s="158">
        <v>2</v>
      </c>
      <c r="J29" s="158">
        <v>7</v>
      </c>
      <c r="K29" s="158">
        <v>4</v>
      </c>
      <c r="L29" s="158">
        <v>1</v>
      </c>
      <c r="M29" s="158">
        <v>9</v>
      </c>
      <c r="N29" s="158">
        <v>1</v>
      </c>
      <c r="O29" s="680" t="s">
        <v>550</v>
      </c>
      <c r="P29" s="524" t="str">
        <f t="shared" si="7"/>
        <v/>
      </c>
      <c r="Q29" s="32" t="str">
        <f t="shared" si="0"/>
        <v>Iceland</v>
      </c>
      <c r="R29" s="32" t="str">
        <f t="shared" si="1"/>
        <v>Estonia</v>
      </c>
      <c r="S29" s="31" t="str">
        <f t="shared" si="2"/>
        <v>1</v>
      </c>
      <c r="T29" s="32" t="str">
        <f t="shared" si="3"/>
        <v>1</v>
      </c>
      <c r="U29" s="27" t="str">
        <f t="shared" si="8"/>
        <v>Iceland  v  Estonia   2/7  4/1  9/1</v>
      </c>
      <c r="V29" s="30" t="str">
        <f t="shared" si="9"/>
        <v xml:space="preserve">Iceland 1-1 Estonia </v>
      </c>
      <c r="W29" t="str">
        <f t="shared" si="10"/>
        <v>2/7  4/1  9/1</v>
      </c>
      <c r="X29" s="17" t="str">
        <f t="shared" si="4"/>
        <v>2/7</v>
      </c>
      <c r="Y29" s="17" t="str">
        <f t="shared" si="5"/>
        <v>4/1</v>
      </c>
      <c r="Z29" s="17" t="str">
        <f t="shared" si="6"/>
        <v>9/1</v>
      </c>
      <c r="AA29" s="167">
        <f t="shared" si="11"/>
        <v>1.2857142857142856</v>
      </c>
      <c r="AB29" s="167">
        <f t="shared" si="12"/>
        <v>5</v>
      </c>
      <c r="AC29" s="167">
        <f t="shared" si="13"/>
        <v>10</v>
      </c>
      <c r="AD29" s="11"/>
      <c r="AH29" s="11"/>
    </row>
    <row r="30" spans="1:34">
      <c r="A30" s="522">
        <v>29</v>
      </c>
      <c r="B30" s="25">
        <v>46291</v>
      </c>
      <c r="C30" s="158">
        <v>43</v>
      </c>
      <c r="D30" s="25" t="s">
        <v>575</v>
      </c>
      <c r="E30" s="25" t="s">
        <v>606</v>
      </c>
      <c r="F30" s="25" t="s">
        <v>607</v>
      </c>
      <c r="G30" s="158">
        <v>0</v>
      </c>
      <c r="H30" s="158">
        <v>3</v>
      </c>
      <c r="I30" s="158">
        <v>13</v>
      </c>
      <c r="J30" s="158">
        <v>2</v>
      </c>
      <c r="K30" s="158">
        <v>7</v>
      </c>
      <c r="L30" s="158">
        <v>2</v>
      </c>
      <c r="M30" s="158">
        <v>4</v>
      </c>
      <c r="N30" s="158">
        <v>11</v>
      </c>
      <c r="O30" s="679" t="s">
        <v>550</v>
      </c>
      <c r="P30" s="524" t="str">
        <f t="shared" si="7"/>
        <v/>
      </c>
      <c r="Q30" s="32" t="str">
        <f t="shared" si="0"/>
        <v>Macedonia</v>
      </c>
      <c r="R30" s="32" t="str">
        <f t="shared" si="1"/>
        <v>Switzerland</v>
      </c>
      <c r="S30" s="31" t="str">
        <f t="shared" si="2"/>
        <v>0</v>
      </c>
      <c r="T30" s="32" t="str">
        <f t="shared" si="3"/>
        <v>3</v>
      </c>
      <c r="U30" s="27" t="str">
        <f t="shared" si="8"/>
        <v>Macedonia  v  Switzerland   13/2  7/2  4/11</v>
      </c>
      <c r="V30" s="30" t="str">
        <f t="shared" si="9"/>
        <v xml:space="preserve">Macedonia 0-3 Switzerland </v>
      </c>
      <c r="W30" t="str">
        <f t="shared" si="10"/>
        <v>13/2  7/2  4/11</v>
      </c>
      <c r="X30" s="17" t="str">
        <f t="shared" si="4"/>
        <v>13/2</v>
      </c>
      <c r="Y30" s="17" t="str">
        <f t="shared" si="5"/>
        <v>7/2</v>
      </c>
      <c r="Z30" s="17" t="str">
        <f t="shared" si="6"/>
        <v>4/11</v>
      </c>
      <c r="AA30" s="167">
        <f t="shared" si="11"/>
        <v>7.5</v>
      </c>
      <c r="AB30" s="167">
        <f t="shared" si="12"/>
        <v>4.5</v>
      </c>
      <c r="AC30" s="167">
        <f t="shared" si="13"/>
        <v>1.3636363636363638</v>
      </c>
      <c r="AD30" s="11"/>
      <c r="AH30" s="11"/>
    </row>
    <row r="31" spans="1:34">
      <c r="A31" s="522">
        <v>30</v>
      </c>
      <c r="B31" s="25">
        <v>46291</v>
      </c>
      <c r="C31" s="158">
        <v>43</v>
      </c>
      <c r="D31" s="25" t="s">
        <v>575</v>
      </c>
      <c r="E31" s="25" t="s">
        <v>608</v>
      </c>
      <c r="F31" s="25" t="s">
        <v>609</v>
      </c>
      <c r="G31" s="158">
        <v>0</v>
      </c>
      <c r="H31" s="158">
        <v>7</v>
      </c>
      <c r="I31" s="158">
        <v>35</v>
      </c>
      <c r="J31" s="158">
        <v>1</v>
      </c>
      <c r="K31" s="158">
        <v>15</v>
      </c>
      <c r="L31" s="158">
        <v>2</v>
      </c>
      <c r="M31" s="158">
        <v>1</v>
      </c>
      <c r="N31" s="158">
        <v>10</v>
      </c>
      <c r="O31" s="679" t="s">
        <v>550</v>
      </c>
      <c r="P31" s="524" t="str">
        <f t="shared" si="7"/>
        <v/>
      </c>
      <c r="Q31" s="32" t="str">
        <f t="shared" si="0"/>
        <v>San Marino</v>
      </c>
      <c r="R31" s="32" t="str">
        <f t="shared" si="1"/>
        <v>Finland</v>
      </c>
      <c r="S31" s="31" t="str">
        <f t="shared" si="2"/>
        <v>0</v>
      </c>
      <c r="T31" s="32" t="str">
        <f t="shared" si="3"/>
        <v>7</v>
      </c>
      <c r="U31" s="27" t="str">
        <f t="shared" si="8"/>
        <v>San Marino  v  Finland   35/1  15/2  1/10</v>
      </c>
      <c r="V31" s="30" t="str">
        <f t="shared" si="9"/>
        <v xml:space="preserve">San Marino 0-7 Finland </v>
      </c>
      <c r="W31" t="str">
        <f t="shared" si="10"/>
        <v>35/1  15/2  1/10</v>
      </c>
      <c r="X31" s="17" t="str">
        <f t="shared" si="4"/>
        <v>35/1</v>
      </c>
      <c r="Y31" s="17" t="str">
        <f t="shared" si="5"/>
        <v>15/2</v>
      </c>
      <c r="Z31" s="17" t="str">
        <f t="shared" si="6"/>
        <v>1/10</v>
      </c>
      <c r="AA31" s="167">
        <f t="shared" si="11"/>
        <v>36</v>
      </c>
      <c r="AB31" s="167">
        <f t="shared" si="12"/>
        <v>8.5</v>
      </c>
      <c r="AC31" s="167">
        <f t="shared" si="13"/>
        <v>1.1000000000000001</v>
      </c>
      <c r="AD31" s="11"/>
      <c r="AH31" s="11"/>
    </row>
    <row r="32" spans="1:34">
      <c r="A32" s="522">
        <v>31</v>
      </c>
      <c r="B32" s="25">
        <v>46291</v>
      </c>
      <c r="C32" s="158">
        <v>43</v>
      </c>
      <c r="D32" s="25" t="s">
        <v>575</v>
      </c>
      <c r="E32" s="25" t="s">
        <v>610</v>
      </c>
      <c r="F32" s="25" t="s">
        <v>611</v>
      </c>
      <c r="G32" s="158">
        <v>2</v>
      </c>
      <c r="H32" s="158">
        <v>0</v>
      </c>
      <c r="I32" s="158">
        <v>1</v>
      </c>
      <c r="J32" s="158">
        <v>4</v>
      </c>
      <c r="K32" s="158">
        <v>4</v>
      </c>
      <c r="L32" s="158">
        <v>1</v>
      </c>
      <c r="M32" s="158">
        <v>10</v>
      </c>
      <c r="N32" s="158">
        <v>1</v>
      </c>
      <c r="O32" s="679" t="s">
        <v>550</v>
      </c>
      <c r="P32" s="524" t="str">
        <f t="shared" si="7"/>
        <v/>
      </c>
      <c r="Q32" s="32" t="str">
        <f t="shared" si="0"/>
        <v>Slovakia</v>
      </c>
      <c r="R32" s="32" t="str">
        <f t="shared" si="1"/>
        <v>Moldova</v>
      </c>
      <c r="S32" s="31" t="str">
        <f t="shared" si="2"/>
        <v>2</v>
      </c>
      <c r="T32" s="32" t="str">
        <f t="shared" si="3"/>
        <v>0</v>
      </c>
      <c r="U32" s="27" t="str">
        <f t="shared" si="8"/>
        <v>Slovakia  v  Moldova   1/4  4/1  10/1</v>
      </c>
      <c r="V32" s="30" t="str">
        <f t="shared" si="9"/>
        <v xml:space="preserve">Slovakia 2-0 Moldova </v>
      </c>
      <c r="W32" t="str">
        <f t="shared" si="10"/>
        <v>1/4  4/1  10/1</v>
      </c>
      <c r="X32" s="17" t="str">
        <f t="shared" si="4"/>
        <v>1/4</v>
      </c>
      <c r="Y32" s="17" t="str">
        <f t="shared" si="5"/>
        <v>4/1</v>
      </c>
      <c r="Z32" s="17" t="str">
        <f t="shared" si="6"/>
        <v>10/1</v>
      </c>
      <c r="AA32" s="167">
        <f t="shared" si="11"/>
        <v>1.25</v>
      </c>
      <c r="AB32" s="167">
        <f t="shared" si="12"/>
        <v>5</v>
      </c>
      <c r="AC32" s="167">
        <f t="shared" si="13"/>
        <v>11</v>
      </c>
      <c r="AD32" s="11"/>
      <c r="AH32" s="11"/>
    </row>
    <row r="33" spans="1:34">
      <c r="A33" s="522">
        <v>32</v>
      </c>
      <c r="B33" s="25">
        <v>46291</v>
      </c>
      <c r="C33" s="158">
        <v>43</v>
      </c>
      <c r="D33" s="25" t="s">
        <v>575</v>
      </c>
      <c r="E33" s="25" t="s">
        <v>612</v>
      </c>
      <c r="F33" s="21" t="s">
        <v>613</v>
      </c>
      <c r="G33" s="158">
        <v>0</v>
      </c>
      <c r="H33" s="158">
        <v>0</v>
      </c>
      <c r="I33" s="158">
        <v>8</v>
      </c>
      <c r="J33" s="158">
        <v>5</v>
      </c>
      <c r="K33" s="158">
        <v>2</v>
      </c>
      <c r="L33" s="158">
        <v>1</v>
      </c>
      <c r="M33" s="158">
        <v>17</v>
      </c>
      <c r="N33" s="158">
        <v>10</v>
      </c>
      <c r="O33" s="680" t="s">
        <v>550</v>
      </c>
      <c r="P33" s="524" t="str">
        <f t="shared" si="7"/>
        <v/>
      </c>
      <c r="Q33" s="32" t="str">
        <f t="shared" ref="Q33:Q47" si="14">TRIM(E33)</f>
        <v>Slovenia</v>
      </c>
      <c r="R33" s="32" t="str">
        <f t="shared" ref="R33:R47" si="15">TRIM(F33)</f>
        <v>Scotland</v>
      </c>
      <c r="S33" s="31" t="str">
        <f t="shared" ref="S33:S47" si="16">TRIM(G33)</f>
        <v>0</v>
      </c>
      <c r="T33" s="32" t="str">
        <f t="shared" ref="T33:T47" si="17">TRIM(H33)</f>
        <v>0</v>
      </c>
      <c r="U33" s="27" t="str">
        <f t="shared" si="8"/>
        <v>Slovenia  v  Scotland   8/5  2/1  17/10</v>
      </c>
      <c r="V33" s="30" t="str">
        <f t="shared" si="9"/>
        <v xml:space="preserve">Slovenia 0-0 Scotland </v>
      </c>
      <c r="W33" t="str">
        <f t="shared" si="10"/>
        <v>8/5  2/1  17/10</v>
      </c>
      <c r="X33" s="17" t="str">
        <f t="shared" ref="X33:X47" si="18">CONCATENATE(I33,"/",J33)</f>
        <v>8/5</v>
      </c>
      <c r="Y33" s="17" t="str">
        <f t="shared" ref="Y33:Y47" si="19">CONCATENATE(K33,"/",L33)</f>
        <v>2/1</v>
      </c>
      <c r="Z33" s="17" t="str">
        <f t="shared" ref="Z33:Z47" si="20">CONCATENATE(M33,"/",N33)</f>
        <v>17/10</v>
      </c>
      <c r="AA33" s="167">
        <f t="shared" si="11"/>
        <v>2.6</v>
      </c>
      <c r="AB33" s="167">
        <f t="shared" si="12"/>
        <v>3</v>
      </c>
      <c r="AC33" s="167">
        <f t="shared" si="13"/>
        <v>2.7</v>
      </c>
      <c r="AD33" s="11"/>
      <c r="AH33" s="11"/>
    </row>
    <row r="34" spans="1:34">
      <c r="A34" s="522">
        <v>33</v>
      </c>
      <c r="B34" s="25">
        <v>46292</v>
      </c>
      <c r="C34" s="158">
        <v>14</v>
      </c>
      <c r="D34" s="25" t="s">
        <v>614</v>
      </c>
      <c r="E34" s="25" t="s">
        <v>615</v>
      </c>
      <c r="F34" s="25" t="s">
        <v>616</v>
      </c>
      <c r="G34" s="158">
        <v>5</v>
      </c>
      <c r="H34" s="158">
        <v>1</v>
      </c>
      <c r="I34" s="158">
        <v>7</v>
      </c>
      <c r="J34" s="158">
        <v>5</v>
      </c>
      <c r="K34" s="158">
        <v>5</v>
      </c>
      <c r="L34" s="158">
        <v>2</v>
      </c>
      <c r="M34" s="158">
        <v>6</v>
      </c>
      <c r="N34" s="158">
        <v>4</v>
      </c>
      <c r="O34" s="680" t="s">
        <v>550</v>
      </c>
      <c r="P34" s="524" t="str">
        <f t="shared" si="7"/>
        <v/>
      </c>
      <c r="Q34" s="32" t="str">
        <f t="shared" si="14"/>
        <v>Aldershot</v>
      </c>
      <c r="R34" s="32" t="str">
        <f t="shared" si="15"/>
        <v>Tamworth</v>
      </c>
      <c r="S34" s="31" t="str">
        <f t="shared" si="16"/>
        <v>5</v>
      </c>
      <c r="T34" s="32" t="str">
        <f t="shared" si="17"/>
        <v>1</v>
      </c>
      <c r="U34" s="27" t="str">
        <f t="shared" si="8"/>
        <v>Aldershot  v  Tamworth   7/5  5/2  6/4</v>
      </c>
      <c r="V34" s="30" t="str">
        <f t="shared" si="9"/>
        <v xml:space="preserve">Aldershot 5-1 Tamworth </v>
      </c>
      <c r="W34" t="str">
        <f t="shared" si="10"/>
        <v>7/5  5/2  6/4</v>
      </c>
      <c r="X34" s="17" t="str">
        <f t="shared" si="18"/>
        <v>7/5</v>
      </c>
      <c r="Y34" s="17" t="str">
        <f t="shared" si="19"/>
        <v>5/2</v>
      </c>
      <c r="Z34" s="17" t="str">
        <f t="shared" si="20"/>
        <v>6/4</v>
      </c>
      <c r="AA34" s="167">
        <f t="shared" si="11"/>
        <v>2.4</v>
      </c>
      <c r="AB34" s="167">
        <f t="shared" si="12"/>
        <v>3.5</v>
      </c>
      <c r="AC34" s="167">
        <f t="shared" si="13"/>
        <v>2.5</v>
      </c>
      <c r="AD34" s="11"/>
      <c r="AH34" s="11"/>
    </row>
    <row r="35" spans="1:34">
      <c r="A35" s="522">
        <v>34</v>
      </c>
      <c r="B35" s="25">
        <v>46292</v>
      </c>
      <c r="C35" s="158">
        <v>14</v>
      </c>
      <c r="D35" s="25" t="s">
        <v>614</v>
      </c>
      <c r="E35" s="25" t="s">
        <v>617</v>
      </c>
      <c r="F35" s="25" t="s">
        <v>618</v>
      </c>
      <c r="G35" s="158">
        <v>3</v>
      </c>
      <c r="H35" s="158">
        <v>0</v>
      </c>
      <c r="I35" s="158">
        <v>6</v>
      </c>
      <c r="J35" s="158">
        <v>5</v>
      </c>
      <c r="K35" s="158">
        <v>23</v>
      </c>
      <c r="L35" s="158">
        <v>10</v>
      </c>
      <c r="M35" s="158">
        <v>19</v>
      </c>
      <c r="N35" s="158">
        <v>10</v>
      </c>
      <c r="O35" s="680" t="s">
        <v>550</v>
      </c>
      <c r="P35" s="524" t="str">
        <f t="shared" si="7"/>
        <v/>
      </c>
      <c r="Q35" s="32" t="str">
        <f t="shared" si="14"/>
        <v>Altrincham</v>
      </c>
      <c r="R35" s="32" t="str">
        <f t="shared" si="15"/>
        <v>AFC Hornchurch</v>
      </c>
      <c r="S35" s="31" t="str">
        <f t="shared" si="16"/>
        <v>3</v>
      </c>
      <c r="T35" s="32" t="str">
        <f t="shared" si="17"/>
        <v>0</v>
      </c>
      <c r="U35" s="27" t="str">
        <f t="shared" si="8"/>
        <v>Altrincham  v  AFC Hornchurch   6/5  23/10  19/10</v>
      </c>
      <c r="V35" s="30" t="str">
        <f t="shared" si="9"/>
        <v xml:space="preserve">Altrincham 3-0 AFC Hornchurch </v>
      </c>
      <c r="W35" t="str">
        <f t="shared" si="10"/>
        <v>6/5  23/10  19/10</v>
      </c>
      <c r="X35" s="17" t="str">
        <f t="shared" si="18"/>
        <v>6/5</v>
      </c>
      <c r="Y35" s="17" t="str">
        <f t="shared" si="19"/>
        <v>23/10</v>
      </c>
      <c r="Z35" s="17" t="str">
        <f t="shared" si="20"/>
        <v>19/10</v>
      </c>
      <c r="AA35" s="167">
        <f t="shared" si="11"/>
        <v>2.2000000000000002</v>
      </c>
      <c r="AB35" s="167">
        <f t="shared" si="12"/>
        <v>3.3</v>
      </c>
      <c r="AC35" s="167">
        <f t="shared" si="13"/>
        <v>2.9</v>
      </c>
      <c r="AD35" s="11"/>
      <c r="AH35" s="11"/>
    </row>
    <row r="36" spans="1:34">
      <c r="A36" s="522">
        <v>35</v>
      </c>
      <c r="B36" s="25">
        <v>46292</v>
      </c>
      <c r="C36" s="158">
        <v>14</v>
      </c>
      <c r="D36" s="25" t="s">
        <v>614</v>
      </c>
      <c r="E36" s="25" t="s">
        <v>619</v>
      </c>
      <c r="F36" s="25" t="s">
        <v>620</v>
      </c>
      <c r="G36" s="158">
        <v>4</v>
      </c>
      <c r="H36" s="158">
        <v>1</v>
      </c>
      <c r="I36" s="158">
        <v>21</v>
      </c>
      <c r="J36" s="158">
        <v>20</v>
      </c>
      <c r="K36" s="158">
        <v>12</v>
      </c>
      <c r="L36" s="158">
        <v>5</v>
      </c>
      <c r="M36" s="158">
        <v>11</v>
      </c>
      <c r="N36" s="158">
        <v>5</v>
      </c>
      <c r="O36" s="680" t="s">
        <v>550</v>
      </c>
      <c r="P36" s="524" t="str">
        <f t="shared" si="7"/>
        <v/>
      </c>
      <c r="Q36" s="32" t="str">
        <f t="shared" si="14"/>
        <v>Scunthorpe</v>
      </c>
      <c r="R36" s="32" t="str">
        <f t="shared" si="15"/>
        <v>Hartlepool</v>
      </c>
      <c r="S36" s="31" t="str">
        <f t="shared" si="16"/>
        <v>4</v>
      </c>
      <c r="T36" s="32" t="str">
        <f t="shared" si="17"/>
        <v>1</v>
      </c>
      <c r="U36" s="27" t="str">
        <f t="shared" si="8"/>
        <v>Scunthorpe  v  Hartlepool   21/20  12/5  11/5</v>
      </c>
      <c r="V36" s="30" t="str">
        <f t="shared" si="9"/>
        <v xml:space="preserve">Scunthorpe 4-1 Hartlepool </v>
      </c>
      <c r="W36" t="str">
        <f t="shared" si="10"/>
        <v>21/20  12/5  11/5</v>
      </c>
      <c r="X36" s="17" t="str">
        <f t="shared" si="18"/>
        <v>21/20</v>
      </c>
      <c r="Y36" s="17" t="str">
        <f t="shared" si="19"/>
        <v>12/5</v>
      </c>
      <c r="Z36" s="17" t="str">
        <f t="shared" si="20"/>
        <v>11/5</v>
      </c>
      <c r="AA36" s="167">
        <f t="shared" si="11"/>
        <v>2.0499999999999998</v>
      </c>
      <c r="AB36" s="167">
        <f t="shared" si="12"/>
        <v>3.4</v>
      </c>
      <c r="AC36" s="167">
        <f t="shared" si="13"/>
        <v>3.2</v>
      </c>
      <c r="AD36" s="11"/>
      <c r="AH36" s="11"/>
    </row>
    <row r="37" spans="1:34">
      <c r="A37" s="522">
        <v>36</v>
      </c>
      <c r="B37" s="25">
        <v>46292</v>
      </c>
      <c r="C37" s="158">
        <v>14</v>
      </c>
      <c r="D37" s="21" t="s">
        <v>614</v>
      </c>
      <c r="E37" s="25" t="s">
        <v>621</v>
      </c>
      <c r="F37" s="25" t="s">
        <v>622</v>
      </c>
      <c r="G37" s="158">
        <v>2</v>
      </c>
      <c r="H37" s="158">
        <v>4</v>
      </c>
      <c r="I37" s="158">
        <v>3</v>
      </c>
      <c r="J37" s="158">
        <v>4</v>
      </c>
      <c r="K37" s="158">
        <v>13</v>
      </c>
      <c r="L37" s="158">
        <v>5</v>
      </c>
      <c r="M37" s="158">
        <v>3</v>
      </c>
      <c r="N37" s="158">
        <v>1</v>
      </c>
      <c r="O37" s="680" t="s">
        <v>550</v>
      </c>
      <c r="P37" s="524" t="str">
        <f t="shared" si="7"/>
        <v/>
      </c>
      <c r="Q37" s="32" t="str">
        <f t="shared" si="14"/>
        <v>Southend</v>
      </c>
      <c r="R37" s="32" t="str">
        <f t="shared" si="15"/>
        <v>Barrow</v>
      </c>
      <c r="S37" s="31" t="str">
        <f t="shared" si="16"/>
        <v>2</v>
      </c>
      <c r="T37" s="32" t="str">
        <f t="shared" si="17"/>
        <v>4</v>
      </c>
      <c r="U37" s="27" t="str">
        <f t="shared" si="8"/>
        <v>Southend  v  Barrow   3/4  13/5  3/1</v>
      </c>
      <c r="V37" s="30" t="str">
        <f t="shared" si="9"/>
        <v xml:space="preserve">Southend 2-4 Barrow </v>
      </c>
      <c r="W37" t="str">
        <f t="shared" si="10"/>
        <v>3/4  13/5  3/1</v>
      </c>
      <c r="X37" s="17" t="str">
        <f t="shared" si="18"/>
        <v>3/4</v>
      </c>
      <c r="Y37" s="17" t="str">
        <f t="shared" si="19"/>
        <v>13/5</v>
      </c>
      <c r="Z37" s="17" t="str">
        <f t="shared" si="20"/>
        <v>3/1</v>
      </c>
      <c r="AA37" s="167">
        <f t="shared" si="11"/>
        <v>1.75</v>
      </c>
      <c r="AB37" s="167">
        <f t="shared" si="12"/>
        <v>3.6</v>
      </c>
      <c r="AC37" s="167">
        <f t="shared" si="13"/>
        <v>4</v>
      </c>
      <c r="AD37" s="11"/>
      <c r="AH37" s="11"/>
    </row>
    <row r="38" spans="1:34">
      <c r="A38" s="522">
        <v>37</v>
      </c>
      <c r="B38" s="25">
        <v>46292</v>
      </c>
      <c r="C38" s="158">
        <v>43</v>
      </c>
      <c r="D38" s="25" t="s">
        <v>575</v>
      </c>
      <c r="E38" s="25" t="s">
        <v>623</v>
      </c>
      <c r="F38" s="25" t="s">
        <v>624</v>
      </c>
      <c r="G38" s="158">
        <v>3</v>
      </c>
      <c r="H38" s="158">
        <v>1</v>
      </c>
      <c r="I38" s="158">
        <v>1</v>
      </c>
      <c r="J38" s="158">
        <v>2</v>
      </c>
      <c r="K38" s="158">
        <v>3</v>
      </c>
      <c r="L38" s="158">
        <v>1</v>
      </c>
      <c r="M38" s="158">
        <v>24</v>
      </c>
      <c r="N38" s="158">
        <v>5</v>
      </c>
      <c r="O38" s="679" t="s">
        <v>550</v>
      </c>
      <c r="P38" s="524" t="str">
        <f t="shared" si="7"/>
        <v/>
      </c>
      <c r="Q38" s="32" t="str">
        <f t="shared" si="14"/>
        <v>Austria</v>
      </c>
      <c r="R38" s="32" t="str">
        <f t="shared" si="15"/>
        <v>Kosovo</v>
      </c>
      <c r="S38" s="31" t="str">
        <f t="shared" si="16"/>
        <v>3</v>
      </c>
      <c r="T38" s="32" t="str">
        <f t="shared" si="17"/>
        <v>1</v>
      </c>
      <c r="U38" s="27" t="str">
        <f t="shared" si="8"/>
        <v>Austria  v  Kosovo   1/2  3/1  24/5</v>
      </c>
      <c r="V38" s="30" t="str">
        <f t="shared" si="9"/>
        <v xml:space="preserve">Austria 3-1 Kosovo </v>
      </c>
      <c r="W38" t="str">
        <f t="shared" si="10"/>
        <v>1/2  3/1  24/5</v>
      </c>
      <c r="X38" s="17" t="str">
        <f t="shared" si="18"/>
        <v>1/2</v>
      </c>
      <c r="Y38" s="17" t="str">
        <f t="shared" si="19"/>
        <v>3/1</v>
      </c>
      <c r="Z38" s="17" t="str">
        <f t="shared" si="20"/>
        <v>24/5</v>
      </c>
      <c r="AA38" s="167">
        <f t="shared" si="11"/>
        <v>1.5</v>
      </c>
      <c r="AB38" s="167">
        <f t="shared" si="12"/>
        <v>4</v>
      </c>
      <c r="AC38" s="167">
        <f t="shared" si="13"/>
        <v>5.8</v>
      </c>
      <c r="AD38" s="11"/>
      <c r="AH38" s="11"/>
    </row>
    <row r="39" spans="1:34">
      <c r="A39" s="522">
        <v>38</v>
      </c>
      <c r="B39" s="25">
        <v>46292</v>
      </c>
      <c r="C39" s="158">
        <v>43</v>
      </c>
      <c r="D39" s="25" t="s">
        <v>575</v>
      </c>
      <c r="E39" s="25" t="s">
        <v>625</v>
      </c>
      <c r="F39" s="25" t="s">
        <v>626</v>
      </c>
      <c r="G39" s="158">
        <v>2</v>
      </c>
      <c r="H39" s="158">
        <v>0</v>
      </c>
      <c r="I39" s="158">
        <v>13</v>
      </c>
      <c r="J39" s="158">
        <v>20</v>
      </c>
      <c r="K39" s="158">
        <v>27</v>
      </c>
      <c r="L39" s="158">
        <v>10</v>
      </c>
      <c r="M39" s="158">
        <v>4</v>
      </c>
      <c r="N39" s="158">
        <v>1</v>
      </c>
      <c r="O39" s="679" t="s">
        <v>550</v>
      </c>
      <c r="P39" s="524" t="str">
        <f t="shared" si="7"/>
        <v/>
      </c>
      <c r="Q39" s="32" t="str">
        <f t="shared" si="14"/>
        <v>Denmark</v>
      </c>
      <c r="R39" s="32" t="str">
        <f t="shared" si="15"/>
        <v>Wales</v>
      </c>
      <c r="S39" s="31" t="str">
        <f t="shared" si="16"/>
        <v>2</v>
      </c>
      <c r="T39" s="32" t="str">
        <f t="shared" si="17"/>
        <v>0</v>
      </c>
      <c r="U39" s="27" t="str">
        <f t="shared" si="8"/>
        <v>Denmark  v  Wales   13/20  27/10  4/1</v>
      </c>
      <c r="V39" s="30" t="str">
        <f t="shared" si="9"/>
        <v xml:space="preserve">Denmark 2-0 Wales </v>
      </c>
      <c r="W39" t="str">
        <f t="shared" si="10"/>
        <v>13/20  27/10  4/1</v>
      </c>
      <c r="X39" s="17" t="str">
        <f t="shared" si="18"/>
        <v>13/20</v>
      </c>
      <c r="Y39" s="17" t="str">
        <f t="shared" si="19"/>
        <v>27/10</v>
      </c>
      <c r="Z39" s="17" t="str">
        <f t="shared" si="20"/>
        <v>4/1</v>
      </c>
      <c r="AA39" s="167">
        <f t="shared" si="11"/>
        <v>1.65</v>
      </c>
      <c r="AB39" s="167">
        <f t="shared" si="12"/>
        <v>3.7</v>
      </c>
      <c r="AC39" s="167">
        <f t="shared" si="13"/>
        <v>5</v>
      </c>
      <c r="AD39" s="11"/>
      <c r="AH39" s="11"/>
    </row>
    <row r="40" spans="1:34">
      <c r="A40" s="522">
        <v>39</v>
      </c>
      <c r="B40" s="25">
        <v>46292</v>
      </c>
      <c r="C40" s="158">
        <v>43</v>
      </c>
      <c r="D40" s="25" t="s">
        <v>575</v>
      </c>
      <c r="E40" s="25" t="s">
        <v>627</v>
      </c>
      <c r="F40" s="25" t="s">
        <v>628</v>
      </c>
      <c r="G40" s="158">
        <v>0</v>
      </c>
      <c r="H40" s="158">
        <v>1</v>
      </c>
      <c r="I40" s="158">
        <v>4</v>
      </c>
      <c r="J40" s="158">
        <v>11</v>
      </c>
      <c r="K40" s="158">
        <v>19</v>
      </c>
      <c r="L40" s="158">
        <v>5</v>
      </c>
      <c r="M40" s="158">
        <v>6</v>
      </c>
      <c r="N40" s="158">
        <v>1</v>
      </c>
      <c r="O40" s="680" t="s">
        <v>550</v>
      </c>
      <c r="P40" s="524" t="str">
        <f t="shared" si="7"/>
        <v/>
      </c>
      <c r="Q40" s="32" t="str">
        <f t="shared" si="14"/>
        <v>Germany</v>
      </c>
      <c r="R40" s="32" t="str">
        <f t="shared" si="15"/>
        <v>Greece</v>
      </c>
      <c r="S40" s="31" t="str">
        <f t="shared" si="16"/>
        <v>0</v>
      </c>
      <c r="T40" s="32" t="str">
        <f t="shared" si="17"/>
        <v>1</v>
      </c>
      <c r="U40" s="27" t="str">
        <f t="shared" si="8"/>
        <v>Germany  v  Greece   4/11  19/5  6/1</v>
      </c>
      <c r="V40" s="30" t="str">
        <f t="shared" si="9"/>
        <v xml:space="preserve">Germany 0-1 Greece </v>
      </c>
      <c r="W40" t="str">
        <f t="shared" si="10"/>
        <v>4/11  19/5  6/1</v>
      </c>
      <c r="X40" s="17" t="str">
        <f t="shared" si="18"/>
        <v>4/11</v>
      </c>
      <c r="Y40" s="17" t="str">
        <f t="shared" si="19"/>
        <v>19/5</v>
      </c>
      <c r="Z40" s="17" t="str">
        <f t="shared" si="20"/>
        <v>6/1</v>
      </c>
      <c r="AA40" s="167">
        <f t="shared" si="11"/>
        <v>1.3636363636363638</v>
      </c>
      <c r="AB40" s="167">
        <f t="shared" si="12"/>
        <v>4.8</v>
      </c>
      <c r="AC40" s="167">
        <f t="shared" si="13"/>
        <v>7</v>
      </c>
      <c r="AD40" s="11"/>
      <c r="AH40" s="11"/>
    </row>
    <row r="41" spans="1:34">
      <c r="A41" s="522">
        <v>40</v>
      </c>
      <c r="B41" s="25">
        <v>46292</v>
      </c>
      <c r="C41" s="158">
        <v>43</v>
      </c>
      <c r="D41" s="25" t="s">
        <v>575</v>
      </c>
      <c r="E41" s="25" t="s">
        <v>629</v>
      </c>
      <c r="F41" s="25" t="s">
        <v>630</v>
      </c>
      <c r="G41" s="158">
        <v>0</v>
      </c>
      <c r="H41" s="158">
        <v>0</v>
      </c>
      <c r="I41" s="158">
        <v>5</v>
      </c>
      <c r="J41" s="158">
        <v>2</v>
      </c>
      <c r="K41" s="158">
        <v>23</v>
      </c>
      <c r="L41" s="158">
        <v>12</v>
      </c>
      <c r="M41" s="158">
        <v>6</v>
      </c>
      <c r="N41" s="158">
        <v>4</v>
      </c>
      <c r="O41" s="680" t="s">
        <v>550</v>
      </c>
      <c r="P41" s="524" t="str">
        <f t="shared" si="7"/>
        <v/>
      </c>
      <c r="Q41" s="32" t="str">
        <f t="shared" si="14"/>
        <v>Gibraltar</v>
      </c>
      <c r="R41" s="32" t="str">
        <f t="shared" si="15"/>
        <v>Andorra</v>
      </c>
      <c r="S41" s="31" t="str">
        <f t="shared" si="16"/>
        <v>0</v>
      </c>
      <c r="T41" s="32" t="str">
        <f t="shared" si="17"/>
        <v>0</v>
      </c>
      <c r="U41" s="27" t="str">
        <f t="shared" si="8"/>
        <v>Gibraltar  v  Andorra   5/2  23/12  6/4</v>
      </c>
      <c r="V41" s="30" t="str">
        <f t="shared" si="9"/>
        <v xml:space="preserve">Gibraltar 0-0 Andorra </v>
      </c>
      <c r="W41" t="str">
        <f t="shared" si="10"/>
        <v>5/2  23/12  6/4</v>
      </c>
      <c r="X41" s="17" t="str">
        <f t="shared" si="18"/>
        <v>5/2</v>
      </c>
      <c r="Y41" s="17" t="str">
        <f t="shared" si="19"/>
        <v>23/12</v>
      </c>
      <c r="Z41" s="17" t="str">
        <f t="shared" si="20"/>
        <v>6/4</v>
      </c>
      <c r="AA41" s="167">
        <f t="shared" si="11"/>
        <v>3.5</v>
      </c>
      <c r="AB41" s="167">
        <f t="shared" si="12"/>
        <v>2.916666666666667</v>
      </c>
      <c r="AC41" s="167">
        <f t="shared" si="13"/>
        <v>2.5</v>
      </c>
      <c r="AD41" s="11"/>
      <c r="AH41" s="11"/>
    </row>
    <row r="42" spans="1:34">
      <c r="A42" s="522">
        <v>41</v>
      </c>
      <c r="B42" s="25">
        <v>46292</v>
      </c>
      <c r="C42" s="158">
        <v>43</v>
      </c>
      <c r="D42" s="25" t="s">
        <v>575</v>
      </c>
      <c r="E42" s="25" t="s">
        <v>631</v>
      </c>
      <c r="F42" s="25" t="s">
        <v>632</v>
      </c>
      <c r="G42" s="158">
        <v>0</v>
      </c>
      <c r="H42" s="158">
        <v>3</v>
      </c>
      <c r="I42" s="158">
        <v>6</v>
      </c>
      <c r="J42" s="158">
        <v>4</v>
      </c>
      <c r="K42" s="158">
        <v>21</v>
      </c>
      <c r="L42" s="158">
        <v>10</v>
      </c>
      <c r="M42" s="158">
        <v>13</v>
      </c>
      <c r="N42" s="158">
        <v>8</v>
      </c>
      <c r="O42" s="680" t="s">
        <v>550</v>
      </c>
      <c r="P42" s="524" t="str">
        <f t="shared" si="7"/>
        <v/>
      </c>
      <c r="Q42" s="32" t="str">
        <f t="shared" si="14"/>
        <v>Israel</v>
      </c>
      <c r="R42" s="32" t="str">
        <f t="shared" si="15"/>
        <v>Ireland</v>
      </c>
      <c r="S42" s="31" t="str">
        <f t="shared" si="16"/>
        <v>0</v>
      </c>
      <c r="T42" s="32" t="str">
        <f t="shared" si="17"/>
        <v>3</v>
      </c>
      <c r="U42" s="27" t="str">
        <f t="shared" si="8"/>
        <v>Israel  v  Ireland   6/4  21/10  13/8</v>
      </c>
      <c r="V42" s="30" t="str">
        <f t="shared" si="9"/>
        <v xml:space="preserve">Israel 0-3 Ireland </v>
      </c>
      <c r="W42" t="str">
        <f t="shared" si="10"/>
        <v>6/4  21/10  13/8</v>
      </c>
      <c r="X42" s="17" t="str">
        <f t="shared" si="18"/>
        <v>6/4</v>
      </c>
      <c r="Y42" s="17" t="str">
        <f t="shared" si="19"/>
        <v>21/10</v>
      </c>
      <c r="Z42" s="17" t="str">
        <f t="shared" si="20"/>
        <v>13/8</v>
      </c>
      <c r="AA42" s="167">
        <f t="shared" si="11"/>
        <v>2.5</v>
      </c>
      <c r="AB42" s="167">
        <f t="shared" si="12"/>
        <v>3.1</v>
      </c>
      <c r="AC42" s="167">
        <f t="shared" si="13"/>
        <v>2.625</v>
      </c>
      <c r="AD42" s="11"/>
      <c r="AH42" s="11"/>
    </row>
    <row r="43" spans="1:34">
      <c r="A43" s="522">
        <v>42</v>
      </c>
      <c r="B43" s="25">
        <v>46292</v>
      </c>
      <c r="C43" s="158">
        <v>43</v>
      </c>
      <c r="D43" s="25" t="s">
        <v>575</v>
      </c>
      <c r="E43" s="25" t="s">
        <v>633</v>
      </c>
      <c r="F43" s="21" t="s">
        <v>634</v>
      </c>
      <c r="G43" s="158">
        <v>1</v>
      </c>
      <c r="H43" s="158">
        <v>1</v>
      </c>
      <c r="I43" s="158">
        <v>6</v>
      </c>
      <c r="J43" s="158">
        <v>4</v>
      </c>
      <c r="K43" s="158">
        <v>21</v>
      </c>
      <c r="L43" s="158">
        <v>10</v>
      </c>
      <c r="M43" s="158">
        <v>2</v>
      </c>
      <c r="N43" s="158">
        <v>1</v>
      </c>
      <c r="O43" s="680" t="s">
        <v>550</v>
      </c>
      <c r="P43" s="524" t="str">
        <f t="shared" si="7"/>
        <v/>
      </c>
      <c r="Q43" s="32" t="str">
        <f t="shared" si="14"/>
        <v>Lithuania</v>
      </c>
      <c r="R43" s="32" t="str">
        <f t="shared" si="15"/>
        <v>Azerbaijan</v>
      </c>
      <c r="S43" s="31" t="str">
        <f t="shared" si="16"/>
        <v>1</v>
      </c>
      <c r="T43" s="32" t="str">
        <f t="shared" si="17"/>
        <v>1</v>
      </c>
      <c r="U43" s="27" t="str">
        <f t="shared" si="8"/>
        <v>Lithuania  v  Azerbaijan   6/4  21/10  2/1</v>
      </c>
      <c r="V43" s="30" t="str">
        <f t="shared" si="9"/>
        <v xml:space="preserve">Lithuania 1-1 Azerbaijan </v>
      </c>
      <c r="W43" t="str">
        <f t="shared" si="10"/>
        <v>6/4  21/10  2/1</v>
      </c>
      <c r="X43" s="17" t="str">
        <f t="shared" si="18"/>
        <v>6/4</v>
      </c>
      <c r="Y43" s="17" t="str">
        <f t="shared" si="19"/>
        <v>21/10</v>
      </c>
      <c r="Z43" s="17" t="str">
        <f t="shared" si="20"/>
        <v>2/1</v>
      </c>
      <c r="AA43" s="167">
        <f t="shared" si="11"/>
        <v>2.5</v>
      </c>
      <c r="AB43" s="167">
        <f t="shared" si="12"/>
        <v>3.1</v>
      </c>
      <c r="AC43" s="167">
        <f t="shared" si="13"/>
        <v>3</v>
      </c>
      <c r="AD43" s="11"/>
      <c r="AH43" s="11"/>
    </row>
    <row r="44" spans="1:34">
      <c r="A44" s="522">
        <v>43</v>
      </c>
      <c r="B44" s="25">
        <v>46292</v>
      </c>
      <c r="C44" s="158">
        <v>43</v>
      </c>
      <c r="D44" s="25" t="s">
        <v>575</v>
      </c>
      <c r="E44" s="21" t="s">
        <v>635</v>
      </c>
      <c r="F44" s="21" t="s">
        <v>636</v>
      </c>
      <c r="G44" s="158">
        <v>1</v>
      </c>
      <c r="H44" s="158">
        <v>2</v>
      </c>
      <c r="I44" s="158">
        <v>13</v>
      </c>
      <c r="J44" s="158">
        <v>8</v>
      </c>
      <c r="K44" s="158">
        <v>23</v>
      </c>
      <c r="L44" s="158">
        <v>10</v>
      </c>
      <c r="M44" s="158">
        <v>6</v>
      </c>
      <c r="N44" s="158">
        <v>4</v>
      </c>
      <c r="O44" s="680" t="s">
        <v>550</v>
      </c>
      <c r="P44" s="524" t="str">
        <f t="shared" si="7"/>
        <v/>
      </c>
      <c r="Q44" s="32" t="str">
        <f t="shared" si="14"/>
        <v>Norway</v>
      </c>
      <c r="R44" s="32" t="str">
        <f t="shared" si="15"/>
        <v>Portugal</v>
      </c>
      <c r="S44" s="31" t="str">
        <f t="shared" si="16"/>
        <v>1</v>
      </c>
      <c r="T44" s="32" t="str">
        <f t="shared" si="17"/>
        <v>2</v>
      </c>
      <c r="U44" s="27" t="str">
        <f t="shared" si="8"/>
        <v>Norway  v  Portugal   13/8  23/10  6/4</v>
      </c>
      <c r="V44" s="30" t="str">
        <f t="shared" si="9"/>
        <v xml:space="preserve">Norway 1-2 Portugal </v>
      </c>
      <c r="W44" t="str">
        <f t="shared" si="10"/>
        <v>13/8  23/10  6/4</v>
      </c>
      <c r="X44" s="17" t="str">
        <f t="shared" si="18"/>
        <v>13/8</v>
      </c>
      <c r="Y44" s="17" t="str">
        <f t="shared" si="19"/>
        <v>23/10</v>
      </c>
      <c r="Z44" s="17" t="str">
        <f t="shared" si="20"/>
        <v>6/4</v>
      </c>
      <c r="AA44" s="167">
        <f t="shared" si="11"/>
        <v>2.625</v>
      </c>
      <c r="AB44" s="167">
        <f t="shared" si="12"/>
        <v>3.3</v>
      </c>
      <c r="AC44" s="167">
        <f t="shared" si="13"/>
        <v>2.5</v>
      </c>
      <c r="AD44" s="11"/>
      <c r="AH44" s="11"/>
    </row>
    <row r="45" spans="1:34">
      <c r="A45" s="522">
        <v>44</v>
      </c>
      <c r="B45" s="25">
        <v>46292</v>
      </c>
      <c r="C45" s="158">
        <v>43</v>
      </c>
      <c r="D45" s="25" t="s">
        <v>575</v>
      </c>
      <c r="E45" s="21" t="s">
        <v>637</v>
      </c>
      <c r="F45" s="21" t="s">
        <v>638</v>
      </c>
      <c r="G45" s="158">
        <v>1</v>
      </c>
      <c r="H45" s="158">
        <v>2</v>
      </c>
      <c r="I45" s="158">
        <v>4</v>
      </c>
      <c r="J45" s="158">
        <v>1</v>
      </c>
      <c r="K45" s="158">
        <v>14</v>
      </c>
      <c r="L45" s="158">
        <v>5</v>
      </c>
      <c r="M45" s="158">
        <v>8</v>
      </c>
      <c r="N45" s="158">
        <v>13</v>
      </c>
      <c r="O45" s="680" t="s">
        <v>550</v>
      </c>
      <c r="P45" s="524" t="str">
        <f t="shared" si="7"/>
        <v/>
      </c>
      <c r="Q45" s="32" t="str">
        <f t="shared" si="14"/>
        <v>Serbia</v>
      </c>
      <c r="R45" s="32" t="str">
        <f t="shared" si="15"/>
        <v>Netherlands</v>
      </c>
      <c r="S45" s="31" t="str">
        <f t="shared" si="16"/>
        <v>1</v>
      </c>
      <c r="T45" s="32" t="str">
        <f t="shared" si="17"/>
        <v>2</v>
      </c>
      <c r="U45" s="27" t="str">
        <f t="shared" si="8"/>
        <v>Serbia  v  Netherlands   4/1  14/5  8/13</v>
      </c>
      <c r="V45" s="30" t="str">
        <f t="shared" si="9"/>
        <v xml:space="preserve">Serbia 1-2 Netherlands </v>
      </c>
      <c r="W45" t="str">
        <f>X45&amp;"  "&amp;Y45&amp;"  "&amp;Z45</f>
        <v>4/1  14/5  8/13</v>
      </c>
      <c r="X45" s="17" t="str">
        <f t="shared" si="18"/>
        <v>4/1</v>
      </c>
      <c r="Y45" s="17" t="str">
        <f t="shared" si="19"/>
        <v>14/5</v>
      </c>
      <c r="Z45" s="17" t="str">
        <f t="shared" si="20"/>
        <v>8/13</v>
      </c>
      <c r="AA45" s="167">
        <f t="shared" si="11"/>
        <v>5</v>
      </c>
      <c r="AB45" s="167">
        <f t="shared" si="12"/>
        <v>3.8</v>
      </c>
      <c r="AC45" s="167">
        <f t="shared" si="13"/>
        <v>1.6153846153846154</v>
      </c>
      <c r="AD45" s="11"/>
      <c r="AH45" s="11"/>
    </row>
    <row r="46" spans="1:34">
      <c r="A46" s="522">
        <v>45</v>
      </c>
      <c r="B46" s="25"/>
      <c r="C46" s="158"/>
      <c r="D46" s="25"/>
      <c r="E46" s="25"/>
      <c r="F46" s="21"/>
      <c r="G46" s="158"/>
      <c r="H46" s="158"/>
      <c r="I46" s="158"/>
      <c r="J46" s="158"/>
      <c r="K46" s="158"/>
      <c r="L46" s="158"/>
      <c r="M46" s="158"/>
      <c r="N46" s="158"/>
      <c r="O46" s="680"/>
      <c r="P46" s="524" t="str">
        <f t="shared" si="7"/>
        <v/>
      </c>
      <c r="Q46" s="32" t="str">
        <f t="shared" si="14"/>
        <v/>
      </c>
      <c r="R46" s="32" t="str">
        <f t="shared" si="15"/>
        <v/>
      </c>
      <c r="S46" s="31" t="str">
        <f t="shared" si="16"/>
        <v/>
      </c>
      <c r="T46" s="32" t="str">
        <f t="shared" si="17"/>
        <v/>
      </c>
      <c r="U46" s="27" t="str">
        <f t="shared" si="8"/>
        <v/>
      </c>
      <c r="V46" s="30" t="str">
        <f t="shared" si="9"/>
        <v xml:space="preserve"> -  </v>
      </c>
      <c r="W46" t="str">
        <f>X46&amp;"  "&amp;Y46&amp;"  "&amp;Z46</f>
        <v>/  /  /</v>
      </c>
      <c r="X46" s="17" t="str">
        <f t="shared" si="18"/>
        <v>/</v>
      </c>
      <c r="Y46" s="17" t="str">
        <f t="shared" si="19"/>
        <v>/</v>
      </c>
      <c r="Z46" s="17" t="str">
        <f t="shared" si="20"/>
        <v>/</v>
      </c>
      <c r="AA46" s="167" t="str">
        <f t="shared" si="11"/>
        <v/>
      </c>
      <c r="AB46" s="167" t="str">
        <f t="shared" si="12"/>
        <v/>
      </c>
      <c r="AC46" s="167" t="str">
        <f t="shared" si="13"/>
        <v/>
      </c>
    </row>
    <row r="47" spans="1:34">
      <c r="A47" s="522">
        <v>46</v>
      </c>
      <c r="B47" s="25"/>
      <c r="C47" s="158"/>
      <c r="D47" s="25"/>
      <c r="E47" s="25"/>
      <c r="F47" s="21"/>
      <c r="G47" s="158"/>
      <c r="H47" s="158"/>
      <c r="I47" s="158"/>
      <c r="J47" s="158"/>
      <c r="K47" s="158"/>
      <c r="L47" s="158"/>
      <c r="M47" s="158"/>
      <c r="N47" s="158"/>
      <c r="O47" s="680"/>
      <c r="P47" s="524" t="str">
        <f t="shared" si="7"/>
        <v/>
      </c>
      <c r="Q47" s="32" t="str">
        <f t="shared" si="14"/>
        <v/>
      </c>
      <c r="R47" s="32" t="str">
        <f t="shared" si="15"/>
        <v/>
      </c>
      <c r="S47" s="31" t="str">
        <f t="shared" si="16"/>
        <v/>
      </c>
      <c r="T47" s="32" t="str">
        <f t="shared" si="17"/>
        <v/>
      </c>
      <c r="U47" s="27" t="str">
        <f t="shared" si="8"/>
        <v/>
      </c>
      <c r="V47" s="30" t="str">
        <f t="shared" si="9"/>
        <v xml:space="preserve"> -  </v>
      </c>
      <c r="W47" t="str">
        <f>X47&amp;"  "&amp;Y47&amp;"  "&amp;Z47</f>
        <v>/  /  /</v>
      </c>
      <c r="X47" s="17" t="str">
        <f t="shared" si="18"/>
        <v>/</v>
      </c>
      <c r="Y47" s="17" t="str">
        <f t="shared" si="19"/>
        <v>/</v>
      </c>
      <c r="Z47" s="17" t="str">
        <f t="shared" si="20"/>
        <v>/</v>
      </c>
      <c r="AA47" s="167" t="str">
        <f t="shared" si="11"/>
        <v/>
      </c>
      <c r="AB47" s="167" t="str">
        <f t="shared" si="12"/>
        <v/>
      </c>
      <c r="AC47" s="167" t="str">
        <f t="shared" si="13"/>
        <v/>
      </c>
    </row>
    <row r="48" spans="1:34">
      <c r="A48" s="522">
        <v>1</v>
      </c>
      <c r="Q48" s="32" t="str">
        <f t="shared" ref="Q48:Q60" si="21">TRIM(E48)</f>
        <v/>
      </c>
      <c r="R48" s="32" t="str">
        <f t="shared" ref="R48:R60" si="22">TRIM(F48)</f>
        <v/>
      </c>
      <c r="S48" s="31" t="str">
        <f t="shared" ref="S48:S60" si="23">TRIM(G48)</f>
        <v/>
      </c>
      <c r="T48" s="32" t="str">
        <f t="shared" ref="T48:T60" si="24">TRIM(H48)</f>
        <v/>
      </c>
      <c r="U48" s="27" t="str">
        <f t="shared" ref="U48:U60" si="25">IF(B48="","",IF(O48=TRUE,Q48&amp;"  v  "&amp;R48&amp;"  OFF",Q48&amp;"  v  "&amp;R48&amp;"   "&amp;W48))</f>
        <v/>
      </c>
      <c r="V48" s="30" t="str">
        <f t="shared" ref="V48:V60" si="26">Q48&amp;" "&amp;S48&amp;"-"&amp;T48&amp;" "&amp;R48&amp;" "&amp;P48</f>
        <v xml:space="preserve"> -  </v>
      </c>
      <c r="W48" t="str">
        <f t="shared" ref="W48:W60" si="27">X48&amp;"  "&amp;Y48&amp;"  "&amp;Z48</f>
        <v>/  /  /</v>
      </c>
      <c r="X48" s="17" t="str">
        <f t="shared" ref="X48:X60" si="28">CONCATENATE(I48,"/",J48)</f>
        <v>/</v>
      </c>
      <c r="Y48" s="17" t="str">
        <f t="shared" ref="Y48:Y60" si="29">CONCATENATE(K48,"/",L48)</f>
        <v>/</v>
      </c>
      <c r="Z48" s="17" t="str">
        <f t="shared" ref="Z48:Z60" si="30">CONCATENATE(M48,"/",N48)</f>
        <v>/</v>
      </c>
      <c r="AA48" s="167" t="str">
        <f t="shared" ref="AA48:AA60" si="31">IF(B48="","",1+(I48/J48))</f>
        <v/>
      </c>
      <c r="AB48" s="167" t="str">
        <f t="shared" ref="AB48:AB60" si="32">IF(D48="","",1+(K48/L48))</f>
        <v/>
      </c>
      <c r="AC48" s="167" t="str">
        <f t="shared" ref="AC48:AC60" si="33">IF(E48="","",1+(M48/N48))</f>
        <v/>
      </c>
    </row>
    <row r="49" spans="1:29">
      <c r="A49" s="522">
        <v>2</v>
      </c>
      <c r="Q49" s="32" t="str">
        <f t="shared" si="21"/>
        <v/>
      </c>
      <c r="R49" s="32" t="str">
        <f t="shared" si="22"/>
        <v/>
      </c>
      <c r="S49" s="31" t="str">
        <f t="shared" si="23"/>
        <v/>
      </c>
      <c r="T49" s="32" t="str">
        <f t="shared" si="24"/>
        <v/>
      </c>
      <c r="U49" s="27" t="str">
        <f t="shared" si="25"/>
        <v/>
      </c>
      <c r="V49" s="30" t="str">
        <f t="shared" si="26"/>
        <v xml:space="preserve"> -  </v>
      </c>
      <c r="W49" t="str">
        <f t="shared" si="27"/>
        <v>/  /  /</v>
      </c>
      <c r="X49" s="17" t="str">
        <f t="shared" si="28"/>
        <v>/</v>
      </c>
      <c r="Y49" s="17" t="str">
        <f t="shared" si="29"/>
        <v>/</v>
      </c>
      <c r="Z49" s="17" t="str">
        <f t="shared" si="30"/>
        <v>/</v>
      </c>
      <c r="AA49" s="167" t="str">
        <f t="shared" si="31"/>
        <v/>
      </c>
      <c r="AB49" s="167" t="str">
        <f t="shared" si="32"/>
        <v/>
      </c>
      <c r="AC49" s="167" t="str">
        <f t="shared" si="33"/>
        <v/>
      </c>
    </row>
    <row r="50" spans="1:29">
      <c r="A50" s="522">
        <v>3</v>
      </c>
      <c r="Q50" s="32" t="str">
        <f t="shared" si="21"/>
        <v/>
      </c>
      <c r="R50" s="32" t="str">
        <f t="shared" si="22"/>
        <v/>
      </c>
      <c r="S50" s="31" t="str">
        <f t="shared" si="23"/>
        <v/>
      </c>
      <c r="T50" s="32" t="str">
        <f t="shared" si="24"/>
        <v/>
      </c>
      <c r="U50" s="27" t="str">
        <f t="shared" si="25"/>
        <v/>
      </c>
      <c r="V50" s="30" t="str">
        <f t="shared" si="26"/>
        <v xml:space="preserve"> -  </v>
      </c>
      <c r="W50" t="str">
        <f t="shared" si="27"/>
        <v>/  /  /</v>
      </c>
      <c r="X50" s="17" t="str">
        <f t="shared" si="28"/>
        <v>/</v>
      </c>
      <c r="Y50" s="17" t="str">
        <f t="shared" si="29"/>
        <v>/</v>
      </c>
      <c r="Z50" s="17" t="str">
        <f t="shared" si="30"/>
        <v>/</v>
      </c>
      <c r="AA50" s="167" t="str">
        <f t="shared" si="31"/>
        <v/>
      </c>
      <c r="AB50" s="167" t="str">
        <f t="shared" si="32"/>
        <v/>
      </c>
      <c r="AC50" s="167" t="str">
        <f t="shared" si="33"/>
        <v/>
      </c>
    </row>
    <row r="51" spans="1:29">
      <c r="A51" s="522">
        <v>4</v>
      </c>
      <c r="Q51" s="32" t="str">
        <f t="shared" si="21"/>
        <v/>
      </c>
      <c r="R51" s="32" t="str">
        <f t="shared" si="22"/>
        <v/>
      </c>
      <c r="S51" s="31" t="str">
        <f t="shared" si="23"/>
        <v/>
      </c>
      <c r="T51" s="32" t="str">
        <f t="shared" si="24"/>
        <v/>
      </c>
      <c r="U51" s="27" t="str">
        <f t="shared" si="25"/>
        <v/>
      </c>
      <c r="V51" s="30" t="str">
        <f t="shared" si="26"/>
        <v xml:space="preserve"> -  </v>
      </c>
      <c r="W51" t="str">
        <f t="shared" si="27"/>
        <v>/  /  /</v>
      </c>
      <c r="X51" s="17" t="str">
        <f t="shared" si="28"/>
        <v>/</v>
      </c>
      <c r="Y51" s="17" t="str">
        <f t="shared" si="29"/>
        <v>/</v>
      </c>
      <c r="Z51" s="17" t="str">
        <f t="shared" si="30"/>
        <v>/</v>
      </c>
      <c r="AA51" s="167" t="str">
        <f t="shared" si="31"/>
        <v/>
      </c>
      <c r="AB51" s="167" t="str">
        <f t="shared" si="32"/>
        <v/>
      </c>
      <c r="AC51" s="167" t="str">
        <f t="shared" si="33"/>
        <v/>
      </c>
    </row>
    <row r="52" spans="1:29">
      <c r="A52" s="522">
        <v>5</v>
      </c>
      <c r="Q52" s="32" t="str">
        <f t="shared" si="21"/>
        <v/>
      </c>
      <c r="R52" s="32" t="str">
        <f t="shared" si="22"/>
        <v/>
      </c>
      <c r="S52" s="31" t="str">
        <f t="shared" si="23"/>
        <v/>
      </c>
      <c r="T52" s="32" t="str">
        <f t="shared" si="24"/>
        <v/>
      </c>
      <c r="U52" s="27" t="str">
        <f t="shared" si="25"/>
        <v/>
      </c>
      <c r="V52" s="30" t="str">
        <f t="shared" si="26"/>
        <v xml:space="preserve"> -  </v>
      </c>
      <c r="W52" t="str">
        <f t="shared" si="27"/>
        <v>/  /  /</v>
      </c>
      <c r="X52" s="17" t="str">
        <f t="shared" si="28"/>
        <v>/</v>
      </c>
      <c r="Y52" s="17" t="str">
        <f t="shared" si="29"/>
        <v>/</v>
      </c>
      <c r="Z52" s="17" t="str">
        <f t="shared" si="30"/>
        <v>/</v>
      </c>
      <c r="AA52" s="167" t="str">
        <f t="shared" si="31"/>
        <v/>
      </c>
      <c r="AB52" s="167" t="str">
        <f t="shared" si="32"/>
        <v/>
      </c>
      <c r="AC52" s="167" t="str">
        <f t="shared" si="33"/>
        <v/>
      </c>
    </row>
    <row r="53" spans="1:29">
      <c r="A53" s="522">
        <v>6</v>
      </c>
      <c r="Q53" s="32" t="str">
        <f t="shared" si="21"/>
        <v/>
      </c>
      <c r="R53" s="32" t="str">
        <f t="shared" si="22"/>
        <v/>
      </c>
      <c r="S53" s="31" t="str">
        <f t="shared" si="23"/>
        <v/>
      </c>
      <c r="T53" s="32" t="str">
        <f t="shared" si="24"/>
        <v/>
      </c>
      <c r="U53" s="27" t="str">
        <f t="shared" si="25"/>
        <v/>
      </c>
      <c r="V53" s="30" t="str">
        <f t="shared" si="26"/>
        <v xml:space="preserve"> -  </v>
      </c>
      <c r="W53" t="str">
        <f t="shared" si="27"/>
        <v>/  /  /</v>
      </c>
      <c r="X53" s="17" t="str">
        <f t="shared" si="28"/>
        <v>/</v>
      </c>
      <c r="Y53" s="17" t="str">
        <f t="shared" si="29"/>
        <v>/</v>
      </c>
      <c r="Z53" s="17" t="str">
        <f t="shared" si="30"/>
        <v>/</v>
      </c>
      <c r="AA53" s="167" t="str">
        <f t="shared" si="31"/>
        <v/>
      </c>
      <c r="AB53" s="167" t="str">
        <f t="shared" si="32"/>
        <v/>
      </c>
      <c r="AC53" s="167" t="str">
        <f t="shared" si="33"/>
        <v/>
      </c>
    </row>
    <row r="54" spans="1:29">
      <c r="A54" s="522">
        <v>7</v>
      </c>
      <c r="Q54" s="32" t="str">
        <f t="shared" si="21"/>
        <v/>
      </c>
      <c r="R54" s="32" t="str">
        <f t="shared" si="22"/>
        <v/>
      </c>
      <c r="S54" s="31" t="str">
        <f t="shared" si="23"/>
        <v/>
      </c>
      <c r="T54" s="32" t="str">
        <f t="shared" si="24"/>
        <v/>
      </c>
      <c r="U54" s="27" t="str">
        <f t="shared" si="25"/>
        <v/>
      </c>
      <c r="V54" s="30" t="str">
        <f t="shared" si="26"/>
        <v xml:space="preserve"> -  </v>
      </c>
      <c r="W54" t="str">
        <f t="shared" si="27"/>
        <v>/  /  /</v>
      </c>
      <c r="X54" s="17" t="str">
        <f t="shared" si="28"/>
        <v>/</v>
      </c>
      <c r="Y54" s="17" t="str">
        <f t="shared" si="29"/>
        <v>/</v>
      </c>
      <c r="Z54" s="17" t="str">
        <f t="shared" si="30"/>
        <v>/</v>
      </c>
      <c r="AA54" s="167" t="str">
        <f t="shared" si="31"/>
        <v/>
      </c>
      <c r="AB54" s="167" t="str">
        <f t="shared" si="32"/>
        <v/>
      </c>
      <c r="AC54" s="167" t="str">
        <f t="shared" si="33"/>
        <v/>
      </c>
    </row>
    <row r="55" spans="1:29">
      <c r="A55" s="522">
        <v>8</v>
      </c>
      <c r="Q55" s="32" t="str">
        <f t="shared" si="21"/>
        <v/>
      </c>
      <c r="R55" s="32" t="str">
        <f t="shared" si="22"/>
        <v/>
      </c>
      <c r="S55" s="31" t="str">
        <f t="shared" si="23"/>
        <v/>
      </c>
      <c r="T55" s="32" t="str">
        <f t="shared" si="24"/>
        <v/>
      </c>
      <c r="U55" s="27" t="str">
        <f t="shared" si="25"/>
        <v/>
      </c>
      <c r="V55" s="30" t="str">
        <f t="shared" si="26"/>
        <v xml:space="preserve"> -  </v>
      </c>
      <c r="W55" t="str">
        <f t="shared" si="27"/>
        <v>/  /  /</v>
      </c>
      <c r="X55" s="17" t="str">
        <f t="shared" si="28"/>
        <v>/</v>
      </c>
      <c r="Y55" s="17" t="str">
        <f t="shared" si="29"/>
        <v>/</v>
      </c>
      <c r="Z55" s="17" t="str">
        <f t="shared" si="30"/>
        <v>/</v>
      </c>
      <c r="AA55" s="167" t="str">
        <f t="shared" si="31"/>
        <v/>
      </c>
      <c r="AB55" s="167" t="str">
        <f t="shared" si="32"/>
        <v/>
      </c>
      <c r="AC55" s="167" t="str">
        <f t="shared" si="33"/>
        <v/>
      </c>
    </row>
    <row r="56" spans="1:29">
      <c r="A56" s="522">
        <v>9</v>
      </c>
      <c r="Q56" s="32" t="str">
        <f t="shared" si="21"/>
        <v/>
      </c>
      <c r="R56" s="32" t="str">
        <f t="shared" si="22"/>
        <v/>
      </c>
      <c r="S56" s="31" t="str">
        <f t="shared" si="23"/>
        <v/>
      </c>
      <c r="T56" s="32" t="str">
        <f t="shared" si="24"/>
        <v/>
      </c>
      <c r="U56" s="27" t="str">
        <f t="shared" si="25"/>
        <v/>
      </c>
      <c r="V56" s="30" t="str">
        <f t="shared" si="26"/>
        <v xml:space="preserve"> -  </v>
      </c>
      <c r="W56" t="str">
        <f t="shared" si="27"/>
        <v>/  /  /</v>
      </c>
      <c r="X56" s="17" t="str">
        <f t="shared" si="28"/>
        <v>/</v>
      </c>
      <c r="Y56" s="17" t="str">
        <f t="shared" si="29"/>
        <v>/</v>
      </c>
      <c r="Z56" s="17" t="str">
        <f t="shared" si="30"/>
        <v>/</v>
      </c>
      <c r="AA56" s="167" t="str">
        <f t="shared" si="31"/>
        <v/>
      </c>
      <c r="AB56" s="167" t="str">
        <f t="shared" si="32"/>
        <v/>
      </c>
      <c r="AC56" s="167" t="str">
        <f t="shared" si="33"/>
        <v/>
      </c>
    </row>
    <row r="57" spans="1:29">
      <c r="A57" s="522">
        <v>10</v>
      </c>
      <c r="Q57" s="32" t="str">
        <f t="shared" si="21"/>
        <v/>
      </c>
      <c r="R57" s="32" t="str">
        <f t="shared" si="22"/>
        <v/>
      </c>
      <c r="S57" s="31" t="str">
        <f t="shared" si="23"/>
        <v/>
      </c>
      <c r="T57" s="32" t="str">
        <f t="shared" si="24"/>
        <v/>
      </c>
      <c r="U57" s="27" t="str">
        <f t="shared" si="25"/>
        <v/>
      </c>
      <c r="V57" s="30" t="str">
        <f t="shared" si="26"/>
        <v xml:space="preserve"> -  </v>
      </c>
      <c r="W57" t="str">
        <f t="shared" si="27"/>
        <v>/  /  /</v>
      </c>
      <c r="X57" s="17" t="str">
        <f t="shared" si="28"/>
        <v>/</v>
      </c>
      <c r="Y57" s="17" t="str">
        <f t="shared" si="29"/>
        <v>/</v>
      </c>
      <c r="Z57" s="17" t="str">
        <f t="shared" si="30"/>
        <v>/</v>
      </c>
      <c r="AA57" s="167" t="str">
        <f t="shared" si="31"/>
        <v/>
      </c>
      <c r="AB57" s="167" t="str">
        <f t="shared" si="32"/>
        <v/>
      </c>
      <c r="AC57" s="167" t="str">
        <f t="shared" si="33"/>
        <v/>
      </c>
    </row>
    <row r="58" spans="1:29">
      <c r="A58" s="522">
        <v>11</v>
      </c>
      <c r="Q58" s="32" t="str">
        <f t="shared" si="21"/>
        <v/>
      </c>
      <c r="R58" s="32" t="str">
        <f t="shared" si="22"/>
        <v/>
      </c>
      <c r="S58" s="31" t="str">
        <f t="shared" si="23"/>
        <v/>
      </c>
      <c r="T58" s="32" t="str">
        <f t="shared" si="24"/>
        <v/>
      </c>
      <c r="U58" s="27" t="str">
        <f t="shared" si="25"/>
        <v/>
      </c>
      <c r="V58" s="30" t="str">
        <f t="shared" si="26"/>
        <v xml:space="preserve"> -  </v>
      </c>
      <c r="W58" t="str">
        <f t="shared" si="27"/>
        <v>/  /  /</v>
      </c>
      <c r="X58" s="17" t="str">
        <f t="shared" si="28"/>
        <v>/</v>
      </c>
      <c r="Y58" s="17" t="str">
        <f t="shared" si="29"/>
        <v>/</v>
      </c>
      <c r="Z58" s="17" t="str">
        <f t="shared" si="30"/>
        <v>/</v>
      </c>
      <c r="AA58" s="167" t="str">
        <f t="shared" si="31"/>
        <v/>
      </c>
      <c r="AB58" s="167" t="str">
        <f t="shared" si="32"/>
        <v/>
      </c>
      <c r="AC58" s="167" t="str">
        <f t="shared" si="33"/>
        <v/>
      </c>
    </row>
    <row r="59" spans="1:29">
      <c r="A59" s="522">
        <v>12</v>
      </c>
      <c r="Q59" s="32" t="str">
        <f t="shared" si="21"/>
        <v/>
      </c>
      <c r="R59" s="32" t="str">
        <f t="shared" si="22"/>
        <v/>
      </c>
      <c r="S59" s="31" t="str">
        <f t="shared" si="23"/>
        <v/>
      </c>
      <c r="T59" s="32" t="str">
        <f t="shared" si="24"/>
        <v/>
      </c>
      <c r="U59" s="27" t="str">
        <f t="shared" si="25"/>
        <v/>
      </c>
      <c r="V59" s="30" t="str">
        <f t="shared" si="26"/>
        <v xml:space="preserve"> -  </v>
      </c>
      <c r="W59" t="str">
        <f t="shared" si="27"/>
        <v>/  /  /</v>
      </c>
      <c r="X59" s="17" t="str">
        <f t="shared" si="28"/>
        <v>/</v>
      </c>
      <c r="Y59" s="17" t="str">
        <f t="shared" si="29"/>
        <v>/</v>
      </c>
      <c r="Z59" s="17" t="str">
        <f t="shared" si="30"/>
        <v>/</v>
      </c>
      <c r="AA59" s="167" t="str">
        <f t="shared" si="31"/>
        <v/>
      </c>
      <c r="AB59" s="167" t="str">
        <f t="shared" si="32"/>
        <v/>
      </c>
      <c r="AC59" s="167" t="str">
        <f t="shared" si="33"/>
        <v/>
      </c>
    </row>
    <row r="60" spans="1:29">
      <c r="A60" s="522">
        <v>13</v>
      </c>
      <c r="Q60" s="32" t="str">
        <f t="shared" si="21"/>
        <v/>
      </c>
      <c r="R60" s="32" t="str">
        <f t="shared" si="22"/>
        <v/>
      </c>
      <c r="S60" s="31" t="str">
        <f t="shared" si="23"/>
        <v/>
      </c>
      <c r="T60" s="32" t="str">
        <f t="shared" si="24"/>
        <v/>
      </c>
      <c r="U60" s="27" t="str">
        <f t="shared" si="25"/>
        <v/>
      </c>
      <c r="V60" s="30" t="str">
        <f t="shared" si="26"/>
        <v xml:space="preserve"> -  </v>
      </c>
      <c r="W60" t="str">
        <f t="shared" si="27"/>
        <v>/  /  /</v>
      </c>
      <c r="X60" s="17" t="str">
        <f t="shared" si="28"/>
        <v>/</v>
      </c>
      <c r="Y60" s="17" t="str">
        <f t="shared" si="29"/>
        <v>/</v>
      </c>
      <c r="Z60" s="17" t="str">
        <f t="shared" si="30"/>
        <v>/</v>
      </c>
      <c r="AA60" s="167" t="str">
        <f t="shared" si="31"/>
        <v/>
      </c>
      <c r="AB60" s="167" t="str">
        <f t="shared" si="32"/>
        <v/>
      </c>
      <c r="AC60" s="167" t="str">
        <f t="shared" si="33"/>
        <v/>
      </c>
    </row>
    <row r="61" spans="1:29">
      <c r="A61" s="522">
        <v>14</v>
      </c>
      <c r="U61" s="27" t="str">
        <f t="shared" si="8"/>
        <v/>
      </c>
    </row>
    <row r="62" spans="1:29">
      <c r="A62" s="522">
        <v>15</v>
      </c>
      <c r="U62" s="27" t="str">
        <f t="shared" si="8"/>
        <v/>
      </c>
    </row>
    <row r="63" spans="1:29">
      <c r="A63" s="522">
        <v>16</v>
      </c>
      <c r="U63" s="27" t="str">
        <f t="shared" si="8"/>
        <v/>
      </c>
    </row>
    <row r="64" spans="1:29">
      <c r="A64" s="522">
        <v>17</v>
      </c>
      <c r="U64" s="27" t="str">
        <f t="shared" si="8"/>
        <v/>
      </c>
    </row>
    <row r="65" spans="1:21">
      <c r="A65" s="522">
        <v>18</v>
      </c>
      <c r="U65" s="27" t="str">
        <f t="shared" si="8"/>
        <v/>
      </c>
    </row>
    <row r="66" spans="1:21">
      <c r="A66" s="522">
        <v>19</v>
      </c>
      <c r="U66" s="27" t="str">
        <f t="shared" si="8"/>
        <v/>
      </c>
    </row>
    <row r="67" spans="1:21">
      <c r="A67" s="522">
        <v>20</v>
      </c>
      <c r="U67" s="27" t="str">
        <f t="shared" ref="U67:U80" si="34">IF(B67="","",IF(O67=TRUE,Q67&amp;"  v  "&amp;R67&amp;"  OFF",Q67&amp;"  v  "&amp;R67&amp;"   "&amp;W67))</f>
        <v/>
      </c>
    </row>
    <row r="68" spans="1:21">
      <c r="A68" s="522">
        <v>21</v>
      </c>
      <c r="U68" s="27" t="str">
        <f t="shared" si="34"/>
        <v/>
      </c>
    </row>
    <row r="69" spans="1:21">
      <c r="A69" s="522">
        <v>22</v>
      </c>
      <c r="U69" s="27" t="str">
        <f t="shared" si="34"/>
        <v/>
      </c>
    </row>
    <row r="70" spans="1:21">
      <c r="A70" s="522">
        <v>23</v>
      </c>
      <c r="U70" s="27" t="str">
        <f t="shared" si="34"/>
        <v/>
      </c>
    </row>
    <row r="71" spans="1:21">
      <c r="A71" s="522">
        <v>24</v>
      </c>
      <c r="U71" s="27" t="str">
        <f t="shared" si="34"/>
        <v/>
      </c>
    </row>
    <row r="72" spans="1:21">
      <c r="A72" s="522">
        <v>25</v>
      </c>
      <c r="U72" s="27" t="str">
        <f t="shared" si="34"/>
        <v/>
      </c>
    </row>
    <row r="73" spans="1:21">
      <c r="A73" s="522">
        <v>26</v>
      </c>
      <c r="U73" s="27" t="str">
        <f t="shared" si="34"/>
        <v/>
      </c>
    </row>
    <row r="74" spans="1:21">
      <c r="A74" s="522">
        <v>27</v>
      </c>
      <c r="U74" s="27" t="str">
        <f t="shared" si="34"/>
        <v/>
      </c>
    </row>
    <row r="75" spans="1:21">
      <c r="A75" s="522">
        <v>28</v>
      </c>
      <c r="U75" s="27" t="str">
        <f t="shared" si="34"/>
        <v/>
      </c>
    </row>
    <row r="76" spans="1:21">
      <c r="A76" s="522">
        <v>29</v>
      </c>
      <c r="U76" s="27" t="str">
        <f t="shared" si="34"/>
        <v/>
      </c>
    </row>
    <row r="77" spans="1:21">
      <c r="A77" s="522">
        <v>30</v>
      </c>
      <c r="U77" s="27" t="str">
        <f t="shared" si="34"/>
        <v/>
      </c>
    </row>
    <row r="78" spans="1:21">
      <c r="A78" s="522">
        <v>31</v>
      </c>
      <c r="U78" s="27" t="str">
        <f t="shared" si="34"/>
        <v/>
      </c>
    </row>
    <row r="79" spans="1:21">
      <c r="A79" s="522">
        <v>32</v>
      </c>
      <c r="U79" s="27" t="str">
        <f t="shared" si="34"/>
        <v/>
      </c>
    </row>
    <row r="80" spans="1:21">
      <c r="A80" s="522">
        <v>33</v>
      </c>
      <c r="U80" s="27" t="str">
        <f t="shared" si="34"/>
        <v/>
      </c>
    </row>
    <row r="81" spans="1:1">
      <c r="A81" s="522">
        <v>34</v>
      </c>
    </row>
    <row r="82" spans="1:1">
      <c r="A82" s="522">
        <v>35</v>
      </c>
    </row>
    <row r="83" spans="1:1">
      <c r="A83" s="522">
        <v>36</v>
      </c>
    </row>
    <row r="84" spans="1:1">
      <c r="A84" s="522">
        <v>37</v>
      </c>
    </row>
    <row r="85" spans="1:1">
      <c r="A85" s="522">
        <v>38</v>
      </c>
    </row>
    <row r="86" spans="1:1">
      <c r="A86" s="522">
        <v>39</v>
      </c>
    </row>
    <row r="87" spans="1:1">
      <c r="A87" s="522">
        <v>40</v>
      </c>
    </row>
    <row r="88" spans="1:1">
      <c r="A88" s="522">
        <v>41</v>
      </c>
    </row>
    <row r="89" spans="1:1">
      <c r="A89" s="522">
        <v>42</v>
      </c>
    </row>
    <row r="90" spans="1:1">
      <c r="A90" s="522">
        <v>43</v>
      </c>
    </row>
    <row r="91" spans="1:1">
      <c r="A91" s="522">
        <v>44</v>
      </c>
    </row>
    <row r="92" spans="1:1">
      <c r="A92" s="522">
        <v>45</v>
      </c>
    </row>
    <row r="93" spans="1:1">
      <c r="A93" s="522">
        <v>46</v>
      </c>
    </row>
    <row r="94" spans="1:1">
      <c r="A94" s="522">
        <v>1</v>
      </c>
    </row>
    <row r="95" spans="1:1">
      <c r="A95" s="522">
        <v>2</v>
      </c>
    </row>
    <row r="96" spans="1:1">
      <c r="A96" s="522">
        <v>3</v>
      </c>
    </row>
    <row r="97" spans="1:1">
      <c r="A97" s="522">
        <v>4</v>
      </c>
    </row>
    <row r="98" spans="1:1">
      <c r="A98" s="522">
        <v>5</v>
      </c>
    </row>
    <row r="99" spans="1:1">
      <c r="A99" s="522">
        <v>6</v>
      </c>
    </row>
    <row r="100" spans="1:1">
      <c r="A100" s="522">
        <v>7</v>
      </c>
    </row>
    <row r="101" spans="1:1">
      <c r="A101" s="522">
        <v>8</v>
      </c>
    </row>
    <row r="102" spans="1:1">
      <c r="A102" s="522">
        <v>9</v>
      </c>
    </row>
    <row r="103" spans="1:1">
      <c r="A103" s="522">
        <v>10</v>
      </c>
    </row>
    <row r="104" spans="1:1">
      <c r="A104" s="522">
        <v>11</v>
      </c>
    </row>
    <row r="105" spans="1:1">
      <c r="A105" s="522">
        <v>12</v>
      </c>
    </row>
    <row r="106" spans="1:1">
      <c r="A106" s="522">
        <v>13</v>
      </c>
    </row>
    <row r="107" spans="1:1">
      <c r="A107" s="522">
        <v>14</v>
      </c>
    </row>
    <row r="108" spans="1:1">
      <c r="A108" s="522">
        <v>15</v>
      </c>
    </row>
    <row r="109" spans="1:1">
      <c r="A109" s="522">
        <v>16</v>
      </c>
    </row>
    <row r="110" spans="1:1">
      <c r="A110" s="522">
        <v>17</v>
      </c>
    </row>
    <row r="111" spans="1:1">
      <c r="A111" s="522">
        <v>18</v>
      </c>
    </row>
    <row r="112" spans="1:1">
      <c r="A112" s="522">
        <v>19</v>
      </c>
    </row>
    <row r="113" spans="1:1">
      <c r="A113" s="522">
        <v>20</v>
      </c>
    </row>
    <row r="114" spans="1:1">
      <c r="A114" s="522">
        <v>21</v>
      </c>
    </row>
    <row r="115" spans="1:1">
      <c r="A115" s="522">
        <v>22</v>
      </c>
    </row>
    <row r="116" spans="1:1">
      <c r="A116" s="522">
        <v>23</v>
      </c>
    </row>
    <row r="117" spans="1:1">
      <c r="A117" s="522">
        <v>24</v>
      </c>
    </row>
    <row r="118" spans="1:1">
      <c r="A118" s="522">
        <v>25</v>
      </c>
    </row>
    <row r="119" spans="1:1">
      <c r="A119" s="522">
        <v>26</v>
      </c>
    </row>
    <row r="120" spans="1:1">
      <c r="A120" s="522">
        <v>27</v>
      </c>
    </row>
    <row r="121" spans="1:1">
      <c r="A121" s="522">
        <v>28</v>
      </c>
    </row>
    <row r="122" spans="1:1">
      <c r="A122" s="522">
        <v>29</v>
      </c>
    </row>
    <row r="123" spans="1:1">
      <c r="A123" s="522">
        <v>30</v>
      </c>
    </row>
    <row r="124" spans="1:1">
      <c r="A124" s="522">
        <v>31</v>
      </c>
    </row>
    <row r="125" spans="1:1">
      <c r="A125" s="522">
        <v>32</v>
      </c>
    </row>
    <row r="126" spans="1:1">
      <c r="A126" s="522">
        <v>33</v>
      </c>
    </row>
    <row r="127" spans="1:1">
      <c r="A127" s="522">
        <v>34</v>
      </c>
    </row>
    <row r="128" spans="1:1">
      <c r="A128" s="522">
        <v>35</v>
      </c>
    </row>
    <row r="129" spans="1:1">
      <c r="A129" s="522">
        <v>36</v>
      </c>
    </row>
    <row r="130" spans="1:1">
      <c r="A130" s="522">
        <v>37</v>
      </c>
    </row>
    <row r="131" spans="1:1">
      <c r="A131" s="522">
        <v>38</v>
      </c>
    </row>
    <row r="132" spans="1:1">
      <c r="A132" s="522">
        <v>39</v>
      </c>
    </row>
    <row r="133" spans="1:1">
      <c r="A133" s="522">
        <v>40</v>
      </c>
    </row>
    <row r="134" spans="1:1">
      <c r="A134" s="522">
        <v>41</v>
      </c>
    </row>
    <row r="135" spans="1:1">
      <c r="A135" s="522">
        <v>42</v>
      </c>
    </row>
    <row r="136" spans="1:1">
      <c r="A136" s="522">
        <v>43</v>
      </c>
    </row>
    <row r="137" spans="1:1">
      <c r="A137" s="522">
        <v>44</v>
      </c>
    </row>
    <row r="138" spans="1:1">
      <c r="A138" s="522">
        <v>45</v>
      </c>
    </row>
    <row r="139" spans="1:1">
      <c r="A139" s="522">
        <v>46</v>
      </c>
    </row>
  </sheetData>
  <autoFilter ref="A1:AC139" xr:uid="{00000000-0001-0000-0800-000000000000}"/>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3">
    <tabColor rgb="FFFFFF00"/>
    <pageSetUpPr fitToPage="1"/>
  </sheetPr>
  <dimension ref="A1:BF171"/>
  <sheetViews>
    <sheetView zoomScaleNormal="100" workbookViewId="0">
      <pane xSplit="7" ySplit="1" topLeftCell="Q2" activePane="bottomRight" state="frozen"/>
      <selection pane="topRight" activeCell="H1" sqref="H1"/>
      <selection pane="bottomLeft" activeCell="A2" sqref="A2"/>
      <selection pane="bottomRight" activeCell="V1" sqref="V1"/>
    </sheetView>
  </sheetViews>
  <sheetFormatPr defaultRowHeight="12.75"/>
  <cols>
    <col min="1" max="1" width="32" customWidth="1"/>
    <col min="2" max="2" width="7" customWidth="1"/>
    <col min="3" max="3" width="9.265625" style="4" customWidth="1"/>
    <col min="4" max="4" width="6.86328125" style="4" customWidth="1"/>
    <col min="5" max="5" width="4.86328125" customWidth="1"/>
    <col min="6" max="6" width="7.59765625" style="4" customWidth="1"/>
    <col min="7" max="7" width="20.73046875" customWidth="1"/>
    <col min="9" max="9" width="10.59765625" style="4" customWidth="1"/>
    <col min="10" max="10" width="25.59765625" customWidth="1"/>
    <col min="11" max="11" width="8.265625" customWidth="1"/>
    <col min="12" max="12" width="4" customWidth="1"/>
    <col min="13" max="13" width="7.265625" customWidth="1"/>
    <col min="14" max="14" width="8.6640625" style="1" customWidth="1"/>
    <col min="15" max="15" width="10.59765625" style="4" customWidth="1"/>
    <col min="16" max="16" width="25.59765625" customWidth="1"/>
    <col min="17" max="17" width="8.265625" customWidth="1"/>
    <col min="18" max="18" width="3.265625" customWidth="1"/>
    <col min="19" max="19" width="7.265625" style="1" customWidth="1"/>
    <col min="20" max="20" width="4.59765625" customWidth="1"/>
    <col min="21" max="21" width="10.59765625" customWidth="1"/>
    <col min="22" max="22" width="25.59765625" customWidth="1"/>
    <col min="23" max="23" width="8.265625" customWidth="1"/>
    <col min="24" max="24" width="3.265625" customWidth="1"/>
    <col min="25" max="25" width="7.265625" style="1" customWidth="1"/>
    <col min="26" max="26" width="4.59765625" customWidth="1"/>
    <col min="27" max="27" width="10.59765625" customWidth="1"/>
    <col min="28" max="28" width="25.59765625" customWidth="1"/>
    <col min="29" max="29" width="8.265625" customWidth="1"/>
    <col min="30" max="30" width="3.265625" customWidth="1"/>
    <col min="31" max="31" width="9.1328125" style="1" customWidth="1"/>
    <col min="32" max="32" width="5.73046875" customWidth="1"/>
    <col min="33" max="33" width="10.59765625" customWidth="1"/>
    <col min="34" max="34" width="25.59765625" customWidth="1"/>
    <col min="35" max="35" width="8.265625" customWidth="1"/>
    <col min="36" max="36" width="3.265625" customWidth="1"/>
    <col min="37" max="37" width="9.1328125" customWidth="1"/>
    <col min="39" max="39" width="10.59765625" customWidth="1"/>
    <col min="40" max="40" width="25.59765625" customWidth="1"/>
    <col min="41" max="41" width="8.265625" customWidth="1"/>
    <col min="42" max="42" width="3.265625" customWidth="1"/>
    <col min="43" max="43" width="9.1328125" customWidth="1"/>
    <col min="45" max="45" width="10.59765625" customWidth="1"/>
    <col min="46" max="46" width="25.59765625" customWidth="1"/>
    <col min="47" max="47" width="8.265625" customWidth="1"/>
    <col min="48" max="48" width="3.265625" customWidth="1"/>
    <col min="49" max="49" width="9.1328125" customWidth="1"/>
  </cols>
  <sheetData>
    <row r="1" spans="1:58" s="203" customFormat="1" ht="30" customHeight="1">
      <c r="A1" s="538" t="s">
        <v>401</v>
      </c>
      <c r="B1" s="538">
        <v>50</v>
      </c>
      <c r="C1" s="539"/>
      <c r="D1" s="539"/>
      <c r="E1" s="137"/>
      <c r="F1" s="540" t="s">
        <v>129</v>
      </c>
      <c r="G1" s="343" t="s">
        <v>130</v>
      </c>
      <c r="H1" s="541"/>
      <c r="I1" s="546" t="str">
        <f>IF($B$14="","",$B$14)</f>
        <v/>
      </c>
      <c r="J1" s="542" t="str">
        <f>IF($A$14="","",$A$14)</f>
        <v>Preliminary Round</v>
      </c>
      <c r="K1" s="216" t="s">
        <v>548</v>
      </c>
      <c r="L1" s="541"/>
      <c r="M1" s="543" t="s">
        <v>28</v>
      </c>
      <c r="N1" s="641" t="s">
        <v>516</v>
      </c>
      <c r="O1" s="576">
        <f>IF($C$15="","",$C$15)</f>
        <v>46263</v>
      </c>
      <c r="P1" s="577" t="str">
        <f>IF($A$15="","",$A$15)</f>
        <v>Round 1</v>
      </c>
      <c r="Q1" s="582" t="str">
        <f>IF(B15="","",CONCATENATE("PL R",B15))</f>
        <v>PL R2</v>
      </c>
      <c r="R1" s="541"/>
      <c r="S1" s="544" t="s">
        <v>28</v>
      </c>
      <c r="T1" s="541"/>
      <c r="U1" s="548">
        <f>IF($C$16="","",$C$16)</f>
        <v>46284</v>
      </c>
      <c r="V1" s="578" t="str">
        <f>IF($A$16="","",$A$16)</f>
        <v>Round 2</v>
      </c>
      <c r="W1" s="216" t="str">
        <f>IF(B16="","",CONCATENATE("PL R",B16))</f>
        <v>PL R5</v>
      </c>
      <c r="X1" s="541"/>
      <c r="Y1" s="544" t="s">
        <v>28</v>
      </c>
      <c r="Z1" s="541"/>
      <c r="AA1" s="548">
        <f>IF($C$17="","",$C$17)</f>
        <v>46312</v>
      </c>
      <c r="AB1" s="578" t="str">
        <f>IF($A$17="","",$A$17)</f>
        <v>Round 3</v>
      </c>
      <c r="AC1" s="216" t="str">
        <f>IF(B17="","",CONCATENATE("PL R",B17))</f>
        <v>PL R8</v>
      </c>
      <c r="AD1" s="541"/>
      <c r="AE1" s="544" t="s">
        <v>28</v>
      </c>
      <c r="AF1" s="137"/>
      <c r="AG1" s="548">
        <f>IF($C$18="","",$C$18)</f>
        <v>46333</v>
      </c>
      <c r="AH1" s="578" t="s">
        <v>525</v>
      </c>
      <c r="AI1" s="216" t="str">
        <f>IF(B18="","",CONCATENATE("PL R",B18))</f>
        <v>PL R12</v>
      </c>
      <c r="AJ1" s="541"/>
      <c r="AK1" s="545"/>
      <c r="AL1" s="137"/>
      <c r="AM1" s="576">
        <f>IF($C$19="","",$C$19)</f>
        <v>46354</v>
      </c>
      <c r="AN1" s="577" t="str">
        <f>IF($A$19="","",$A$19)</f>
        <v>Semi-Final</v>
      </c>
      <c r="AO1" s="216" t="str">
        <f>IF(B19="","",CONCATENATE("PL R",B19))</f>
        <v>PL R15</v>
      </c>
      <c r="AP1" s="541"/>
      <c r="AQ1" s="545"/>
      <c r="AR1" s="137"/>
      <c r="AS1" s="548">
        <f>IF($C$20="","",$C$20)</f>
        <v>46375</v>
      </c>
      <c r="AT1" s="578" t="str">
        <f>IF($A$20="","",$A$20)</f>
        <v>Final</v>
      </c>
      <c r="AU1" s="216" t="str">
        <f>IF(B20="","",CONCATENATE("PL R",B20))</f>
        <v>PL R18</v>
      </c>
      <c r="AV1" s="541"/>
      <c r="AW1" s="545"/>
      <c r="AX1" s="137"/>
      <c r="AY1" s="137"/>
      <c r="AZ1" s="137"/>
      <c r="BA1" s="137"/>
      <c r="BB1" s="137"/>
      <c r="BC1" s="137"/>
      <c r="BD1" s="137"/>
      <c r="BE1" s="137"/>
      <c r="BF1" s="137"/>
    </row>
    <row r="2" spans="1:58">
      <c r="A2" s="57" t="s">
        <v>358</v>
      </c>
      <c r="B2" s="57">
        <f>IF(B1&lt;64,6,7)</f>
        <v>6</v>
      </c>
      <c r="C2" s="77"/>
      <c r="D2" s="77"/>
      <c r="E2" s="76"/>
      <c r="F2" s="65">
        <v>1</v>
      </c>
      <c r="G2" s="66" t="s">
        <v>274</v>
      </c>
      <c r="H2" s="58"/>
      <c r="I2" s="84">
        <v>1</v>
      </c>
      <c r="J2" s="71"/>
      <c r="K2" s="72"/>
      <c r="L2" s="73" t="str">
        <f>IF(K2="","",IF(K2=K3,"R",""))</f>
        <v/>
      </c>
      <c r="M2" s="75" t="e">
        <f>INDEX(Results!T:T,MATCH(J2,Results!V:V,0))</f>
        <v>#N/A</v>
      </c>
      <c r="N2" s="642">
        <v>1</v>
      </c>
      <c r="O2" s="710">
        <v>1</v>
      </c>
      <c r="P2" s="574" t="s">
        <v>274</v>
      </c>
      <c r="Q2" s="575">
        <v>-5.0909090909090908</v>
      </c>
      <c r="R2" s="81" t="str">
        <f>IF(Q2="","",IF(Q2=Q3,"R",""))</f>
        <v/>
      </c>
      <c r="S2" s="78">
        <f>INDEX(Results!T:T,MATCH(P2,Results!V:V,0))</f>
        <v>-4.5999999999999996</v>
      </c>
      <c r="T2" s="58"/>
      <c r="U2" s="60">
        <v>1</v>
      </c>
      <c r="V2" s="68" t="str">
        <f>IF(Q2=Q3,"Await earlier tie",IF(Q2&lt;Q3,P3,P2))</f>
        <v>Andy White</v>
      </c>
      <c r="W2" s="72">
        <v>-7</v>
      </c>
      <c r="X2" s="81" t="str">
        <f>IF(W2="","",IF(W2=W3,"R",""))</f>
        <v/>
      </c>
      <c r="Y2" s="78">
        <f>INDEX(Results!T:T,MATCH(V2,Results!V:V,0))</f>
        <v>-4.5999999999999996</v>
      </c>
      <c r="Z2" s="58"/>
      <c r="AA2" s="60">
        <v>1</v>
      </c>
      <c r="AB2" s="68" t="str">
        <f>IF(W2=W3,"Await earlier tie",IF(W2&lt;W3,V3,V2))</f>
        <v>Steve Waterhouse</v>
      </c>
      <c r="AC2" s="91"/>
      <c r="AD2" s="73" t="str">
        <f>IF(AC2="","",IF(AC2=AC3,"R",""))</f>
        <v/>
      </c>
      <c r="AE2" s="78">
        <f>INDEX(Results!T:T,MATCH(AB2,Results!V:V,0))</f>
        <v>-5.6363636363636367</v>
      </c>
      <c r="AF2" s="76"/>
      <c r="AG2" s="60">
        <v>1</v>
      </c>
      <c r="AH2" s="68" t="str">
        <f>IF(AC2=AC3,"Await earlier tie",IF(AC2&lt;AC3,AB3,AB2))</f>
        <v>Await earlier tie</v>
      </c>
      <c r="AI2" s="91"/>
      <c r="AJ2" s="73" t="str">
        <f>IF(AI2="","",IF(AI2=AI3,"R",""))</f>
        <v/>
      </c>
      <c r="AK2" s="78" t="e">
        <f>INDEX(Results!T:T,MATCH(AH2,Results!V:V,0))</f>
        <v>#N/A</v>
      </c>
      <c r="AL2" s="76"/>
      <c r="AM2" s="63">
        <v>1</v>
      </c>
      <c r="AN2" s="579" t="str">
        <f>IF(AI2=AI3,"Await earlier tie",IF(AI2&lt;AI3,AH3,AH2))</f>
        <v>Await earlier tie</v>
      </c>
      <c r="AO2" s="580"/>
      <c r="AP2" s="73" t="str">
        <f>IF(AO2="","",IF(AO2=AO3,"R",""))</f>
        <v/>
      </c>
      <c r="AQ2" s="78" t="e">
        <f>INDEX(Results!T:T,MATCH(AN2,Results!V:V,0))</f>
        <v>#N/A</v>
      </c>
      <c r="AR2" s="76"/>
      <c r="AS2" s="60">
        <v>1</v>
      </c>
      <c r="AT2" s="62" t="str">
        <f>IF(AO2=AO3,"Await earlier tie",IF(AO2&lt;AO3,AN3,AN2))</f>
        <v>Await earlier tie</v>
      </c>
      <c r="AU2" s="91"/>
      <c r="AV2" s="81" t="str">
        <f>IF(AU2="","",IF(AU2=AU3,"R",""))</f>
        <v/>
      </c>
      <c r="AW2" s="78" t="e">
        <f>INDEX(Results!T:T,MATCH(AT2,Results!V:V,0))</f>
        <v>#N/A</v>
      </c>
      <c r="AX2" s="76"/>
      <c r="AY2" s="76"/>
      <c r="AZ2" s="76"/>
      <c r="BA2" s="76"/>
      <c r="BB2" s="76"/>
      <c r="BC2" s="76"/>
      <c r="BD2" s="76"/>
      <c r="BE2" s="76"/>
      <c r="BF2" s="76"/>
    </row>
    <row r="3" spans="1:58">
      <c r="A3" s="57"/>
      <c r="B3" s="57"/>
      <c r="C3" s="77"/>
      <c r="D3" s="77"/>
      <c r="E3" s="76"/>
      <c r="F3" s="65">
        <v>2</v>
      </c>
      <c r="G3" s="66" t="s">
        <v>291</v>
      </c>
      <c r="H3" s="58"/>
      <c r="I3" s="83"/>
      <c r="J3" s="71"/>
      <c r="K3" s="72"/>
      <c r="L3" s="74"/>
      <c r="M3" s="75" t="e">
        <f>INDEX(Results!T:T,MATCH(J3,Results!V:V,0))</f>
        <v>#N/A</v>
      </c>
      <c r="N3" s="642">
        <v>2</v>
      </c>
      <c r="O3" s="707"/>
      <c r="P3" s="574" t="s">
        <v>291</v>
      </c>
      <c r="Q3" s="72">
        <v>-7</v>
      </c>
      <c r="R3" s="61"/>
      <c r="S3" s="78">
        <f>INDEX(Results!T:T,MATCH(P3,Results!V:V,0))</f>
        <v>-7</v>
      </c>
      <c r="T3" s="58"/>
      <c r="U3" s="63"/>
      <c r="V3" s="68" t="str">
        <f>IF(Q4=Q5,"Await earlier tie",IF(Q4&lt;Q5,P5,P4))</f>
        <v>Steve Waterhouse</v>
      </c>
      <c r="W3" s="72">
        <v>4.9499999999999993</v>
      </c>
      <c r="X3" s="64"/>
      <c r="Y3" s="78">
        <f>INDEX(Results!T:T,MATCH(V3,Results!V:V,0))</f>
        <v>-5.6363636363636367</v>
      </c>
      <c r="Z3" s="58"/>
      <c r="AA3" s="63"/>
      <c r="AB3" s="68" t="str">
        <f>IF(W4=W5,"Await earlier tie",IF(W4&lt;W5,V5,V4))</f>
        <v>Alex Griffin</v>
      </c>
      <c r="AC3" s="91"/>
      <c r="AD3" s="64"/>
      <c r="AE3" s="78">
        <f>INDEX(Results!T:T,MATCH(AB3,Results!V:V,0))</f>
        <v>-4.8</v>
      </c>
      <c r="AF3" s="76"/>
      <c r="AG3" s="63"/>
      <c r="AH3" s="68" t="str">
        <f>IF(AC4=AC5,"Await earlier tie",IF(AC4&lt;AC5,AB5,AB4))</f>
        <v>Await earlier tie</v>
      </c>
      <c r="AI3" s="91"/>
      <c r="AJ3" s="64"/>
      <c r="AK3" s="78" t="e">
        <f>INDEX(Results!T:T,MATCH(AH3,Results!V:V,0))</f>
        <v>#N/A</v>
      </c>
      <c r="AL3" s="76"/>
      <c r="AM3" s="63"/>
      <c r="AN3" s="68" t="str">
        <f>IF(AI4=AI5,"Await earlier tie",IF(AI4&lt;AI5,AH5,AH4))</f>
        <v>Await earlier tie</v>
      </c>
      <c r="AO3" s="91"/>
      <c r="AP3" s="64"/>
      <c r="AQ3" s="78" t="e">
        <f>INDEX(Results!T:T,MATCH(AN3,Results!V:V,0))</f>
        <v>#N/A</v>
      </c>
      <c r="AR3" s="76"/>
      <c r="AS3" s="67"/>
      <c r="AT3" s="62" t="str">
        <f>IF(AO4=AO5,"Await earlier tie",IF(AO4&lt;AO5,AN5,AN4))</f>
        <v>Await earlier tie</v>
      </c>
      <c r="AU3" s="91"/>
      <c r="AV3" s="61"/>
      <c r="AW3" s="78" t="e">
        <f>INDEX(Results!T:T,MATCH(AT3,Results!V:V,0))</f>
        <v>#N/A</v>
      </c>
      <c r="AX3" s="76"/>
      <c r="AY3" s="76"/>
      <c r="AZ3" s="76"/>
      <c r="BA3" s="76"/>
      <c r="BB3" s="76"/>
      <c r="BC3" s="76"/>
      <c r="BD3" s="76"/>
      <c r="BE3" s="76"/>
      <c r="BF3" s="76"/>
    </row>
    <row r="4" spans="1:58">
      <c r="A4" s="57" t="s">
        <v>547</v>
      </c>
      <c r="B4" s="57">
        <f>(POWER(2,B2)-B1)</f>
        <v>14</v>
      </c>
      <c r="C4" s="77"/>
      <c r="D4" s="77"/>
      <c r="E4" s="76"/>
      <c r="F4" s="65">
        <v>3</v>
      </c>
      <c r="G4" s="66" t="s">
        <v>297</v>
      </c>
      <c r="H4" s="58"/>
      <c r="I4" s="84">
        <v>2</v>
      </c>
      <c r="J4" s="71"/>
      <c r="K4" s="72"/>
      <c r="L4" s="73" t="str">
        <f>IF(K4="","",IF(K4=K5,"R",""))</f>
        <v/>
      </c>
      <c r="M4" s="75" t="e">
        <f>INDEX(Results!T:T,MATCH(J4,Results!V:V,0))</f>
        <v>#N/A</v>
      </c>
      <c r="N4" s="642">
        <v>3</v>
      </c>
      <c r="O4" s="82">
        <v>2</v>
      </c>
      <c r="P4" s="574" t="s">
        <v>297</v>
      </c>
      <c r="Q4" s="72">
        <v>-5.384615384615385</v>
      </c>
      <c r="R4" s="81" t="str">
        <f>IF(Q4="","",IF(Q4=Q5,"R",""))</f>
        <v/>
      </c>
      <c r="S4" s="78">
        <f>INDEX(Results!T:T,MATCH(P4,Results!V:V,0))</f>
        <v>-1.4000000000000004</v>
      </c>
      <c r="T4" s="58"/>
      <c r="U4" s="60">
        <v>2</v>
      </c>
      <c r="V4" s="68" t="str">
        <f>IF(Q6=Q7,"Await earlier tie",IF(Q6&lt;Q7,P7,P6))</f>
        <v>Frank Allen</v>
      </c>
      <c r="W4" s="72">
        <v>-7</v>
      </c>
      <c r="X4" s="81" t="str">
        <f>IF(W4="","",IF(W4=W5,"R",""))</f>
        <v/>
      </c>
      <c r="Y4" s="78">
        <f>INDEX(Results!T:T,MATCH(V4,Results!V:V,0))</f>
        <v>0.59090909090909083</v>
      </c>
      <c r="Z4" s="58"/>
      <c r="AA4" s="60">
        <v>2</v>
      </c>
      <c r="AB4" s="68" t="str">
        <f>IF(W6=W7,"Await earlier tie",IF(W6&lt;W7,V7,V6))</f>
        <v>Tom Robinson</v>
      </c>
      <c r="AC4" s="91"/>
      <c r="AD4" s="73" t="str">
        <f>IF(AC4="","",IF(AC4=AC5,"R",""))</f>
        <v/>
      </c>
      <c r="AE4" s="78">
        <f>INDEX(Results!T:T,MATCH(AB4,Results!V:V,0))</f>
        <v>2.25</v>
      </c>
      <c r="AF4" s="76"/>
      <c r="AG4" s="60">
        <v>2</v>
      </c>
      <c r="AH4" s="68" t="str">
        <f>IF(AC6=AC7,"Await earlier tie",IF(AC6&lt;AC7,AB7,AB6))</f>
        <v>Await earlier tie</v>
      </c>
      <c r="AI4" s="91"/>
      <c r="AJ4" s="73" t="str">
        <f>IF(AI4="","",IF(AI4=AI5,"R",""))</f>
        <v/>
      </c>
      <c r="AK4" s="78" t="e">
        <f>INDEX(Results!T:T,MATCH(AH4,Results!V:V,0))</f>
        <v>#N/A</v>
      </c>
      <c r="AL4" s="76"/>
      <c r="AM4" s="60">
        <v>2</v>
      </c>
      <c r="AN4" s="68" t="str">
        <f>IF(AI6=AI7,"Await earlier tie",IF(AI6&lt;AI7,AH7,AH6))</f>
        <v>Await earlier tie</v>
      </c>
      <c r="AO4" s="91"/>
      <c r="AP4" s="73" t="str">
        <f>IF(AO4="","",IF(AO4=AO5,"R",""))</f>
        <v/>
      </c>
      <c r="AQ4" s="78" t="e">
        <f>INDEX(Results!T:T,MATCH(AN4,Results!V:V,0))</f>
        <v>#N/A</v>
      </c>
      <c r="AR4" s="76"/>
      <c r="AT4" s="76"/>
      <c r="AU4" s="76"/>
      <c r="AV4" s="76"/>
      <c r="AW4" s="80"/>
      <c r="AX4" s="76"/>
      <c r="AY4" s="76"/>
      <c r="AZ4" s="76"/>
      <c r="BA4" s="76"/>
      <c r="BB4" s="76"/>
      <c r="BC4" s="76"/>
      <c r="BD4" s="76"/>
      <c r="BE4" s="76"/>
      <c r="BF4" s="76"/>
    </row>
    <row r="5" spans="1:58">
      <c r="A5" s="57"/>
      <c r="B5" s="57"/>
      <c r="C5" s="77"/>
      <c r="D5" s="77"/>
      <c r="E5" s="76"/>
      <c r="F5" s="65">
        <v>4</v>
      </c>
      <c r="G5" s="66" t="s">
        <v>512</v>
      </c>
      <c r="H5" s="58"/>
      <c r="I5" s="83"/>
      <c r="J5" s="71"/>
      <c r="K5" s="72"/>
      <c r="L5" s="74"/>
      <c r="M5" s="75" t="e">
        <f>INDEX(Results!T:T,MATCH(J5,Results!V:V,0))</f>
        <v>#N/A</v>
      </c>
      <c r="N5" s="642">
        <v>4</v>
      </c>
      <c r="O5" s="83"/>
      <c r="P5" s="574" t="s">
        <v>512</v>
      </c>
      <c r="Q5" s="72">
        <v>2.5600000000000005</v>
      </c>
      <c r="R5" s="61"/>
      <c r="S5" s="78">
        <f>INDEX(Results!T:T,MATCH(P5,Results!V:V,0))</f>
        <v>-5.6363636363636367</v>
      </c>
      <c r="T5" s="58"/>
      <c r="U5" s="63"/>
      <c r="V5" s="68" t="str">
        <f>IF(Q9=Q8,"Await earlier tie",IF(Q8&lt;Q9,P9,P8))</f>
        <v>Alex Griffin</v>
      </c>
      <c r="W5" s="72">
        <v>4.2100000000000009</v>
      </c>
      <c r="X5" s="64"/>
      <c r="Y5" s="78">
        <f>INDEX(Results!T:T,MATCH(V5,Results!V:V,0))</f>
        <v>-4.8</v>
      </c>
      <c r="Z5" s="58"/>
      <c r="AA5" s="63"/>
      <c r="AB5" s="68" t="str">
        <f>IF(W8=W9,"Await earlier tie",IF(W8&lt;W9,V9,V8))</f>
        <v>Martin Molyneux</v>
      </c>
      <c r="AC5" s="91"/>
      <c r="AD5" s="64"/>
      <c r="AE5" s="78" t="e">
        <f>INDEX(Results!T:T,MATCH(AB5,Results!V:V,0))</f>
        <v>#VALUE!</v>
      </c>
      <c r="AF5" s="76"/>
      <c r="AG5" s="63"/>
      <c r="AH5" s="68" t="str">
        <f>IF(AC8=AC9,"Await earlier tie",IF(AC8&lt;AC9,AB9,AB8))</f>
        <v>Await earlier tie</v>
      </c>
      <c r="AI5" s="91"/>
      <c r="AJ5" s="64"/>
      <c r="AK5" s="78" t="e">
        <f>INDEX(Results!T:T,MATCH(AH5,Results!V:V,0))</f>
        <v>#N/A</v>
      </c>
      <c r="AL5" s="76"/>
      <c r="AM5" s="67"/>
      <c r="AN5" s="68" t="str">
        <f>IF(AI8=AI9,"Await earlier tie",IF(AI8&lt;AI9,AH9,AH8))</f>
        <v>Await earlier tie</v>
      </c>
      <c r="AO5" s="91"/>
      <c r="AP5" s="61"/>
      <c r="AQ5" s="78" t="e">
        <f>INDEX(Results!T:T,MATCH(AN5,Results!V:V,0))</f>
        <v>#N/A</v>
      </c>
      <c r="AR5" s="76"/>
      <c r="AS5" s="59"/>
      <c r="AT5" s="58"/>
      <c r="AU5" s="58"/>
      <c r="AV5" s="58"/>
      <c r="AW5" s="79"/>
      <c r="AX5" s="76"/>
      <c r="AY5" s="76"/>
      <c r="AZ5" s="76"/>
      <c r="BA5" s="76"/>
      <c r="BB5" s="76"/>
      <c r="BC5" s="76"/>
      <c r="BD5" s="76"/>
      <c r="BE5" s="76"/>
      <c r="BF5" s="76"/>
    </row>
    <row r="6" spans="1:58">
      <c r="A6" s="57" t="s">
        <v>421</v>
      </c>
      <c r="B6" s="57">
        <f>(B1-B4)/2</f>
        <v>18</v>
      </c>
      <c r="C6" s="77"/>
      <c r="D6" s="77"/>
      <c r="E6" s="76"/>
      <c r="F6" s="65">
        <v>5</v>
      </c>
      <c r="G6" s="66" t="s">
        <v>482</v>
      </c>
      <c r="H6" s="58"/>
      <c r="I6" s="84">
        <v>3</v>
      </c>
      <c r="J6" s="71"/>
      <c r="K6" s="72"/>
      <c r="L6" s="73" t="str">
        <f>IF(K6="","",IF(K6=K7,"R",""))</f>
        <v/>
      </c>
      <c r="M6" s="75" t="e">
        <f>INDEX(Results!T:T,MATCH(J6,Results!V:V,0))</f>
        <v>#N/A</v>
      </c>
      <c r="N6" s="642">
        <v>5</v>
      </c>
      <c r="O6" s="84">
        <v>3</v>
      </c>
      <c r="P6" s="574" t="s">
        <v>482</v>
      </c>
      <c r="Q6" s="72">
        <v>14.087500000000002</v>
      </c>
      <c r="R6" s="81" t="str">
        <f>IF(Q6="","",IF(Q6=Q7,"R",""))</f>
        <v/>
      </c>
      <c r="S6" s="78">
        <f>INDEX(Results!T:T,MATCH(P6,Results!V:V,0))</f>
        <v>0.59090909090909083</v>
      </c>
      <c r="T6" s="58"/>
      <c r="U6" s="60">
        <v>3</v>
      </c>
      <c r="V6" s="68" t="str">
        <f>IF(Q10=Q11,"Await earlier tie",IF(Q10&lt;Q11,P11,P10))</f>
        <v>Kevin Carter</v>
      </c>
      <c r="W6" s="72">
        <v>-5.7142857142857144</v>
      </c>
      <c r="X6" s="81" t="str">
        <f>IF(W6="","",IF(W6=W7,"R",""))</f>
        <v/>
      </c>
      <c r="Y6" s="78">
        <f>INDEX(Results!T:T,MATCH(V6,Results!V:V,0))</f>
        <v>-5.35</v>
      </c>
      <c r="Z6" s="58"/>
      <c r="AA6" s="60">
        <v>3</v>
      </c>
      <c r="AB6" s="68" t="str">
        <f>IF(W10=W11,"Await earlier tie",IF(W10&lt;W11,V11,V10))</f>
        <v>Rob England</v>
      </c>
      <c r="AC6" s="91"/>
      <c r="AD6" s="73" t="str">
        <f>IF(AC6="","",IF(AC6=AC7,"R",""))</f>
        <v/>
      </c>
      <c r="AE6" s="78">
        <f>INDEX(Results!T:T,MATCH(AB6,Results!V:V,0))</f>
        <v>-5.6363636363636367</v>
      </c>
      <c r="AF6" s="76"/>
      <c r="AG6" s="60">
        <v>3</v>
      </c>
      <c r="AH6" s="68" t="str">
        <f>IF(AC10=AC11,"Await earlier tie",IF(AC10&lt;AC11,AB11,AB10))</f>
        <v>Await earlier tie</v>
      </c>
      <c r="AI6" s="91"/>
      <c r="AJ6" s="73" t="str">
        <f>IF(AI6="","",IF(AI6=AI7,"R",""))</f>
        <v/>
      </c>
      <c r="AK6" s="78" t="e">
        <f>INDEX(Results!T:T,MATCH(AH6,Results!V:V,0))</f>
        <v>#N/A</v>
      </c>
      <c r="AL6" s="76"/>
      <c r="AM6" s="76"/>
      <c r="AN6" s="76"/>
      <c r="AO6" s="76"/>
      <c r="AP6" s="76"/>
      <c r="AQ6" s="80"/>
      <c r="AR6" s="76"/>
      <c r="AS6" s="328" t="s">
        <v>484</v>
      </c>
      <c r="AT6" s="103"/>
      <c r="AU6" s="103"/>
      <c r="AV6" s="103"/>
      <c r="AW6" s="79"/>
      <c r="AX6" s="76"/>
      <c r="AY6" s="76"/>
      <c r="AZ6" s="76"/>
      <c r="BA6" s="76"/>
      <c r="BB6" s="76"/>
      <c r="BC6" s="76"/>
      <c r="BD6" s="76"/>
      <c r="BE6" s="76"/>
      <c r="BF6" s="76"/>
    </row>
    <row r="7" spans="1:58">
      <c r="A7" s="57"/>
      <c r="B7" s="57"/>
      <c r="C7" s="77"/>
      <c r="D7" s="77"/>
      <c r="E7" s="76"/>
      <c r="F7" s="65">
        <v>6</v>
      </c>
      <c r="G7" s="66" t="s">
        <v>346</v>
      </c>
      <c r="H7" s="58"/>
      <c r="I7" s="83"/>
      <c r="J7" s="71"/>
      <c r="K7" s="72"/>
      <c r="L7" s="74"/>
      <c r="M7" s="75" t="e">
        <f>INDEX(Results!T:T,MATCH(J7,Results!V:V,0))</f>
        <v>#N/A</v>
      </c>
      <c r="N7" s="642">
        <v>6</v>
      </c>
      <c r="O7" s="83"/>
      <c r="P7" s="574" t="s">
        <v>346</v>
      </c>
      <c r="Q7" s="72">
        <v>-7</v>
      </c>
      <c r="R7" s="61"/>
      <c r="S7" s="78">
        <f>INDEX(Results!T:T,MATCH(P7,Results!V:V,0))</f>
        <v>5.9399999999999995</v>
      </c>
      <c r="T7" s="58"/>
      <c r="U7" s="63"/>
      <c r="V7" s="68" t="str">
        <f>IF(Q12=Q13,"Await earlier tie",IF(Q12&lt;Q13,P13,P12))</f>
        <v>Tom Robinson</v>
      </c>
      <c r="W7" s="72">
        <v>-0.4375</v>
      </c>
      <c r="X7" s="64"/>
      <c r="Y7" s="78">
        <f>INDEX(Results!T:T,MATCH(V7,Results!V:V,0))</f>
        <v>2.25</v>
      </c>
      <c r="Z7" s="58"/>
      <c r="AA7" s="63"/>
      <c r="AB7" s="68" t="str">
        <f>IF(W12=W13,"Await earlier tie",IF(W12&lt;W13,V13,V12))</f>
        <v>Paul Fairhurst</v>
      </c>
      <c r="AC7" s="91"/>
      <c r="AD7" s="64"/>
      <c r="AE7" s="78">
        <f>INDEX(Results!T:T,MATCH(AB7,Results!V:V,0))</f>
        <v>16.990000000000002</v>
      </c>
      <c r="AF7" s="76"/>
      <c r="AG7" s="63"/>
      <c r="AH7" s="68" t="str">
        <f>IF(AC12=AC13,"Await earlier tie",IF(AC12&lt;AC13,AB13,AB12))</f>
        <v>Await earlier tie</v>
      </c>
      <c r="AI7" s="91"/>
      <c r="AJ7" s="64"/>
      <c r="AK7" s="78" t="e">
        <f>INDEX(Results!T:T,MATCH(AH7,Results!V:V,0))</f>
        <v>#N/A</v>
      </c>
      <c r="AL7" s="76"/>
      <c r="AM7" s="328" t="s">
        <v>484</v>
      </c>
      <c r="AN7" s="103"/>
      <c r="AO7" s="103"/>
      <c r="AP7" s="103"/>
      <c r="AQ7" s="80"/>
      <c r="AR7" s="76"/>
      <c r="AS7" s="706"/>
      <c r="AT7" s="527"/>
      <c r="AU7" s="528"/>
      <c r="AV7" s="81" t="str">
        <f>IF(AU7="","",IF(AU7=AU8,"R",""))</f>
        <v/>
      </c>
      <c r="AW7" s="79"/>
      <c r="AX7" s="76"/>
      <c r="AY7" s="76"/>
      <c r="AZ7" s="76"/>
      <c r="BA7" s="76"/>
      <c r="BB7" s="76"/>
      <c r="BC7" s="76"/>
      <c r="BD7" s="76"/>
      <c r="BE7" s="76"/>
      <c r="BF7" s="76"/>
    </row>
    <row r="8" spans="1:58">
      <c r="A8" s="57" t="s">
        <v>128</v>
      </c>
      <c r="B8" s="57" t="s">
        <v>423</v>
      </c>
      <c r="C8" s="77"/>
      <c r="D8" s="77"/>
      <c r="E8" s="76"/>
      <c r="F8" s="65">
        <v>7</v>
      </c>
      <c r="G8" s="66" t="s">
        <v>495</v>
      </c>
      <c r="H8" s="58"/>
      <c r="I8" s="84">
        <v>4</v>
      </c>
      <c r="J8" s="71"/>
      <c r="K8" s="72"/>
      <c r="L8" s="73" t="str">
        <f>IF(K8="","",IF(K8=K9,"R",""))</f>
        <v/>
      </c>
      <c r="M8" s="75" t="e">
        <f>INDEX(Results!T:T,MATCH(J8,Results!V:V,0))</f>
        <v>#N/A</v>
      </c>
      <c r="N8" s="642">
        <v>7</v>
      </c>
      <c r="O8" s="84">
        <v>4</v>
      </c>
      <c r="P8" s="574" t="s">
        <v>495</v>
      </c>
      <c r="Q8" s="72">
        <v>0.46280991735537214</v>
      </c>
      <c r="R8" s="81" t="str">
        <f>IF(Q8="","",IF(Q8=Q9,"R",""))</f>
        <v/>
      </c>
      <c r="S8" s="78">
        <f>INDEX(Results!T:T,MATCH(P8,Results!V:V,0))</f>
        <v>-4.8</v>
      </c>
      <c r="T8" s="58"/>
      <c r="U8" s="60">
        <v>4</v>
      </c>
      <c r="V8" s="68" t="str">
        <f>IF(Q14=Q15,"Await earlier tie",IF(Q14&lt;Q15,P15,P14))</f>
        <v>Martin Molyneux</v>
      </c>
      <c r="W8" s="72">
        <v>-5.25</v>
      </c>
      <c r="X8" s="81" t="str">
        <f>IF(W8="","",IF(W8=W9,"R",""))</f>
        <v/>
      </c>
      <c r="Y8" s="78" t="e">
        <f>INDEX(Results!T:T,MATCH(V8,Results!V:V,0))</f>
        <v>#VALUE!</v>
      </c>
      <c r="Z8" s="58"/>
      <c r="AA8" s="60">
        <v>4</v>
      </c>
      <c r="AB8" s="68" t="str">
        <f>IF(W14=W15,"Await earlier tie",IF(W14&lt;W15,V15,V14))</f>
        <v>Steve Carter</v>
      </c>
      <c r="AC8" s="91"/>
      <c r="AD8" s="73" t="str">
        <f>IF(AC8="","",IF(AC8=AC9,"R",""))</f>
        <v/>
      </c>
      <c r="AE8" s="78">
        <f>INDEX(Results!T:T,MATCH(AB8,Results!V:V,0))</f>
        <v>2.7100000000000009</v>
      </c>
      <c r="AF8" s="76"/>
      <c r="AG8" s="60">
        <v>4</v>
      </c>
      <c r="AH8" s="68" t="str">
        <f>IF(AC14=AC15,"Await earlier tie",IF(AC14&lt;AC15,AB15,AB14))</f>
        <v>Await earlier tie</v>
      </c>
      <c r="AI8" s="91"/>
      <c r="AJ8" s="73" t="str">
        <f>IF(AI8="","",IF(AI8=AI9,"R",""))</f>
        <v/>
      </c>
      <c r="AK8" s="78" t="e">
        <f>INDEX(Results!T:T,MATCH(AH8,Results!V:V,0))</f>
        <v>#N/A</v>
      </c>
      <c r="AL8" s="76"/>
      <c r="AM8" s="706"/>
      <c r="AN8" s="68"/>
      <c r="AO8" s="91"/>
      <c r="AP8" s="81"/>
      <c r="AQ8" s="80"/>
      <c r="AR8" s="76"/>
      <c r="AS8" s="707"/>
      <c r="AT8" s="527"/>
      <c r="AU8" s="528"/>
      <c r="AV8" s="61"/>
      <c r="AW8" s="79"/>
      <c r="AX8" s="76"/>
      <c r="AY8" s="76"/>
      <c r="AZ8" s="76"/>
      <c r="BA8" s="76"/>
      <c r="BB8" s="76"/>
      <c r="BC8" s="76"/>
      <c r="BD8" s="76"/>
      <c r="BE8" s="76"/>
      <c r="BF8" s="76"/>
    </row>
    <row r="9" spans="1:58">
      <c r="A9" s="76"/>
      <c r="B9" s="76"/>
      <c r="C9" s="77"/>
      <c r="D9" s="77"/>
      <c r="E9" s="76"/>
      <c r="F9" s="65">
        <v>8</v>
      </c>
      <c r="G9" s="66" t="s">
        <v>488</v>
      </c>
      <c r="H9" s="58"/>
      <c r="I9" s="83"/>
      <c r="J9" s="71"/>
      <c r="K9" s="72"/>
      <c r="L9" s="74"/>
      <c r="M9" s="75" t="e">
        <f>INDEX(Results!T:T,MATCH(J9,Results!V:V,0))</f>
        <v>#N/A</v>
      </c>
      <c r="N9" s="642">
        <v>8</v>
      </c>
      <c r="O9" s="83"/>
      <c r="P9" s="574" t="s">
        <v>488</v>
      </c>
      <c r="Q9" s="72">
        <v>-0.40000000000000036</v>
      </c>
      <c r="R9" s="61"/>
      <c r="S9" s="78">
        <f>INDEX(Results!T:T,MATCH(P9,Results!V:V,0))</f>
        <v>-5.6363636363636367</v>
      </c>
      <c r="T9" s="58"/>
      <c r="U9" s="63"/>
      <c r="V9" s="68" t="str">
        <f>IF(Q16=Q17,"Await earlier tie",IF(Q16&lt;Q17,P17,P16))</f>
        <v>Nigel Heyes</v>
      </c>
      <c r="W9" s="72">
        <v>-5.5</v>
      </c>
      <c r="X9" s="64"/>
      <c r="Y9" s="78">
        <f>INDEX(Results!T:T,MATCH(V9,Results!V:V,0))</f>
        <v>-7</v>
      </c>
      <c r="Z9" s="58"/>
      <c r="AA9" s="63"/>
      <c r="AB9" s="68" t="str">
        <f>IF(W16=W17,"Await earlier tie",IF(W16&lt;W17,V17,V16))</f>
        <v>Howard Bradley</v>
      </c>
      <c r="AC9" s="91"/>
      <c r="AD9" s="64"/>
      <c r="AE9" s="78">
        <f>INDEX(Results!T:T,MATCH(AB9,Results!V:V,0))</f>
        <v>-2.375</v>
      </c>
      <c r="AF9" s="76"/>
      <c r="AG9" s="67"/>
      <c r="AH9" s="68" t="str">
        <f>IF(AC16=AC17,"Await earlier tie",IF(AC16&lt;AC17,AB17,AB16))</f>
        <v>Await earlier tie</v>
      </c>
      <c r="AI9" s="91"/>
      <c r="AJ9" s="61"/>
      <c r="AK9" s="78" t="e">
        <f>INDEX(Results!T:T,MATCH(AH9,Results!V:V,0))</f>
        <v>#N/A</v>
      </c>
      <c r="AL9" s="76"/>
      <c r="AM9" s="707"/>
      <c r="AN9" s="68"/>
      <c r="AO9" s="91"/>
      <c r="AP9" s="61"/>
      <c r="AQ9" s="80"/>
      <c r="AR9" s="76"/>
      <c r="AS9" s="82"/>
      <c r="AT9" s="527"/>
      <c r="AU9" s="528"/>
      <c r="AV9" s="81" t="str">
        <f>IF(AU9="","",IF(AU9=AU10,"R",""))</f>
        <v/>
      </c>
      <c r="AW9" s="79"/>
      <c r="AX9" s="76"/>
      <c r="AY9" s="76"/>
      <c r="AZ9" s="76"/>
      <c r="BA9" s="76"/>
      <c r="BB9" s="76"/>
      <c r="BC9" s="76"/>
      <c r="BD9" s="76"/>
      <c r="BE9" s="76"/>
      <c r="BF9" s="76"/>
    </row>
    <row r="10" spans="1:58">
      <c r="A10" s="76"/>
      <c r="B10" s="76"/>
      <c r="C10" s="77"/>
      <c r="D10" s="77"/>
      <c r="E10" s="76"/>
      <c r="F10" s="65">
        <v>9</v>
      </c>
      <c r="G10" s="66" t="s">
        <v>347</v>
      </c>
      <c r="H10" s="58"/>
      <c r="I10" s="84">
        <v>5</v>
      </c>
      <c r="J10" s="71"/>
      <c r="K10" s="72"/>
      <c r="L10" s="73" t="str">
        <f>IF(K10="","",IF(K10=K11,"R",""))</f>
        <v/>
      </c>
      <c r="M10" s="75" t="e">
        <f>INDEX(Results!T:T,MATCH(J10,Results!V:V,0))</f>
        <v>#N/A</v>
      </c>
      <c r="N10" s="642">
        <v>9</v>
      </c>
      <c r="O10" s="84">
        <v>5</v>
      </c>
      <c r="P10" s="574" t="s">
        <v>347</v>
      </c>
      <c r="Q10" s="72">
        <v>-7</v>
      </c>
      <c r="R10" s="81" t="str">
        <f>IF(Q10="","",IF(Q10=Q11,"R",""))</f>
        <v/>
      </c>
      <c r="S10" s="78">
        <f>INDEX(Results!T:T,MATCH(P10,Results!V:V,0))</f>
        <v>-0.55454545454545467</v>
      </c>
      <c r="T10" s="58"/>
      <c r="U10" s="60">
        <v>5</v>
      </c>
      <c r="V10" s="68" t="str">
        <f>IF(Q18=Q19,"Await earlier tie",IF(Q18&lt;Q19,P19,P18))</f>
        <v>Rob England</v>
      </c>
      <c r="W10" s="72">
        <v>-1.125</v>
      </c>
      <c r="X10" s="81" t="str">
        <f>IF(W10="","",IF(W10=W11,"R",""))</f>
        <v/>
      </c>
      <c r="Y10" s="78">
        <f>INDEX(Results!T:T,MATCH(V10,Results!V:V,0))</f>
        <v>-5.6363636363636367</v>
      </c>
      <c r="Z10" s="58"/>
      <c r="AA10" s="60">
        <v>5</v>
      </c>
      <c r="AB10" s="68" t="str">
        <f>IF(W18=W19,"Await earlier tie",IF(W18&lt;W19,V19,V18))</f>
        <v>Jack Walsh</v>
      </c>
      <c r="AC10" s="91"/>
      <c r="AD10" s="73" t="str">
        <f>IF(AC10="","",IF(AC10=AC11,"R",""))</f>
        <v/>
      </c>
      <c r="AE10" s="78">
        <f>INDEX(Results!T:T,MATCH(AB10,Results!V:V,0))</f>
        <v>-4.8</v>
      </c>
      <c r="AF10" s="76"/>
      <c r="AG10" s="76"/>
      <c r="AH10" s="76"/>
      <c r="AI10" s="87"/>
      <c r="AJ10" s="76"/>
      <c r="AK10" s="80"/>
      <c r="AL10" s="76"/>
      <c r="AM10" s="82"/>
      <c r="AN10" s="68"/>
      <c r="AO10" s="72"/>
      <c r="AP10" s="81"/>
      <c r="AQ10" s="80"/>
      <c r="AR10" s="76"/>
      <c r="AS10" s="83"/>
      <c r="AT10" s="527"/>
      <c r="AU10" s="528"/>
      <c r="AV10" s="61"/>
      <c r="AW10" s="79"/>
      <c r="AX10" s="76"/>
      <c r="AY10" s="76"/>
      <c r="AZ10" s="76"/>
      <c r="BA10" s="76"/>
      <c r="BB10" s="76"/>
      <c r="BC10" s="76"/>
      <c r="BD10" s="76"/>
      <c r="BE10" s="76"/>
      <c r="BF10" s="76"/>
    </row>
    <row r="11" spans="1:58">
      <c r="A11" s="85" t="s">
        <v>141</v>
      </c>
      <c r="B11" s="76"/>
      <c r="C11" s="77"/>
      <c r="D11" s="77"/>
      <c r="E11" s="76"/>
      <c r="F11" s="65">
        <v>10</v>
      </c>
      <c r="G11" s="66" t="s">
        <v>286</v>
      </c>
      <c r="H11" s="58"/>
      <c r="I11" s="83"/>
      <c r="J11" s="71"/>
      <c r="K11" s="72"/>
      <c r="L11" s="74"/>
      <c r="M11" s="75" t="e">
        <f>INDEX(Results!T:T,MATCH(J11,Results!V:V,0))</f>
        <v>#N/A</v>
      </c>
      <c r="N11" s="642">
        <v>10</v>
      </c>
      <c r="O11" s="83"/>
      <c r="P11" s="574" t="s">
        <v>286</v>
      </c>
      <c r="Q11" s="72">
        <v>2.5600000000000005</v>
      </c>
      <c r="R11" s="61"/>
      <c r="S11" s="78">
        <f>INDEX(Results!T:T,MATCH(P11,Results!V:V,0))</f>
        <v>-5.35</v>
      </c>
      <c r="T11" s="58"/>
      <c r="U11" s="63"/>
      <c r="V11" s="68" t="str">
        <f>IF(Q20=Q21,"Await earlier tie",IF(Q20&lt;Q21,P21,P20))</f>
        <v>Vinny Topping</v>
      </c>
      <c r="W11" s="72">
        <v>-4.3</v>
      </c>
      <c r="X11" s="64"/>
      <c r="Y11" s="78">
        <f>INDEX(Results!T:T,MATCH(V11,Results!V:V,0))</f>
        <v>-5.2727272727272725</v>
      </c>
      <c r="Z11" s="58"/>
      <c r="AA11" s="63"/>
      <c r="AB11" s="68" t="str">
        <f>IF(W20=W21,"Await earlier tie",IF(W20&lt;W21,V21,V20))</f>
        <v>Graham Miller</v>
      </c>
      <c r="AC11" s="91"/>
      <c r="AD11" s="64"/>
      <c r="AE11" s="78">
        <f>INDEX(Results!T:T,MATCH(AB11,Results!V:V,0))</f>
        <v>-5.5</v>
      </c>
      <c r="AF11" s="76"/>
      <c r="AG11" s="76"/>
      <c r="AH11" s="76"/>
      <c r="AI11" s="87"/>
      <c r="AJ11" s="76"/>
      <c r="AK11" s="80"/>
      <c r="AL11" s="76"/>
      <c r="AM11" s="83"/>
      <c r="AN11" s="68"/>
      <c r="AO11" s="72"/>
      <c r="AP11" s="61"/>
      <c r="AQ11" s="80"/>
      <c r="AR11" s="76"/>
      <c r="AS11" s="76"/>
      <c r="AT11" s="76"/>
      <c r="AU11" s="76"/>
      <c r="AV11" s="76"/>
      <c r="AW11" s="76"/>
      <c r="AX11" s="76"/>
      <c r="AY11" s="76"/>
      <c r="AZ11" s="76"/>
      <c r="BA11" s="76"/>
      <c r="BB11" s="76"/>
      <c r="BC11" s="76"/>
      <c r="BD11" s="76"/>
      <c r="BE11" s="76"/>
      <c r="BF11" s="76"/>
    </row>
    <row r="12" spans="1:58">
      <c r="A12" s="76"/>
      <c r="B12" s="76"/>
      <c r="C12" s="77"/>
      <c r="D12" s="77"/>
      <c r="E12" s="76"/>
      <c r="F12" s="65">
        <v>11</v>
      </c>
      <c r="G12" s="66" t="s">
        <v>304</v>
      </c>
      <c r="H12" s="58"/>
      <c r="I12" s="84">
        <v>6</v>
      </c>
      <c r="J12" s="71"/>
      <c r="K12" s="72"/>
      <c r="L12" s="73" t="str">
        <f>IF(K12="","",IF(K12=K13,"R",""))</f>
        <v/>
      </c>
      <c r="M12" s="75" t="e">
        <f>INDEX(Results!T:T,MATCH(J12,Results!V:V,0))</f>
        <v>#N/A</v>
      </c>
      <c r="N12" s="642">
        <v>11</v>
      </c>
      <c r="O12" s="84">
        <v>6</v>
      </c>
      <c r="P12" s="574" t="s">
        <v>304</v>
      </c>
      <c r="Q12" s="72">
        <v>-5.0909090909090908</v>
      </c>
      <c r="R12" s="81" t="str">
        <f>IF(Q12="","",IF(Q12=Q13,"R",""))</f>
        <v/>
      </c>
      <c r="S12" s="78">
        <f>INDEX(Results!T:T,MATCH(P12,Results!V:V,0))</f>
        <v>2.25</v>
      </c>
      <c r="T12" s="58"/>
      <c r="U12" s="60">
        <v>6</v>
      </c>
      <c r="V12" s="68" t="str">
        <f>IF(Q22=Q23,"Await earlier tie",IF(Q22&lt;Q23,P23,P22))</f>
        <v>Paul Fairhurst</v>
      </c>
      <c r="W12" s="72">
        <v>11.95</v>
      </c>
      <c r="X12" s="81" t="str">
        <f>IF(W12="","",IF(W12=W13,"R",""))</f>
        <v/>
      </c>
      <c r="Y12" s="78">
        <f>INDEX(Results!T:T,MATCH(V12,Results!V:V,0))</f>
        <v>16.990000000000002</v>
      </c>
      <c r="Z12" s="58"/>
      <c r="AA12" s="60">
        <v>6</v>
      </c>
      <c r="AB12" s="68" t="str">
        <f>IF(W22=W23,"Await earlier tie",IF(W22&lt;W23,V23,V22))</f>
        <v>Katy Savory</v>
      </c>
      <c r="AC12" s="91"/>
      <c r="AD12" s="73" t="str">
        <f>IF(AC12="","",IF(AC12=AC13,"R",""))</f>
        <v/>
      </c>
      <c r="AE12" s="78">
        <f>INDEX(Results!T:T,MATCH(AB12,Results!V:V,0))</f>
        <v>-7</v>
      </c>
      <c r="AF12" s="76"/>
      <c r="AG12" s="328" t="s">
        <v>484</v>
      </c>
      <c r="AH12" s="103"/>
      <c r="AI12" s="603"/>
      <c r="AJ12" s="103"/>
      <c r="AK12" s="80"/>
      <c r="AL12" s="76"/>
      <c r="AM12" s="76"/>
      <c r="AN12" s="76"/>
      <c r="AO12" s="76"/>
      <c r="AP12" s="76"/>
      <c r="AQ12" s="76"/>
      <c r="AR12" s="76"/>
      <c r="AS12" s="76"/>
      <c r="AT12" s="76"/>
      <c r="AU12" s="76"/>
      <c r="AV12" s="76"/>
      <c r="AW12" s="76"/>
      <c r="AX12" s="76"/>
      <c r="AY12" s="76"/>
      <c r="AZ12" s="76"/>
      <c r="BA12" s="76"/>
      <c r="BB12" s="76"/>
      <c r="BC12" s="76"/>
      <c r="BD12" s="76"/>
      <c r="BE12" s="76"/>
      <c r="BF12" s="76"/>
    </row>
    <row r="13" spans="1:58">
      <c r="A13" s="76"/>
      <c r="B13" s="328" t="s">
        <v>426</v>
      </c>
      <c r="C13" s="453" t="s">
        <v>30</v>
      </c>
      <c r="D13" s="454" t="s">
        <v>462</v>
      </c>
      <c r="E13" s="76"/>
      <c r="F13" s="65">
        <v>12</v>
      </c>
      <c r="G13" s="66" t="s">
        <v>479</v>
      </c>
      <c r="H13" s="58"/>
      <c r="I13" s="83"/>
      <c r="J13" s="71"/>
      <c r="K13" s="72"/>
      <c r="L13" s="74"/>
      <c r="M13" s="75" t="e">
        <f>INDEX(Results!T:T,MATCH(J13,Results!V:V,0))</f>
        <v>#N/A</v>
      </c>
      <c r="N13" s="642">
        <v>12</v>
      </c>
      <c r="O13" s="83"/>
      <c r="P13" s="574" t="s">
        <v>479</v>
      </c>
      <c r="Q13" s="72">
        <v>-10</v>
      </c>
      <c r="R13" s="61"/>
      <c r="S13" s="78">
        <f>INDEX(Results!T:T,MATCH(P13,Results!V:V,0))</f>
        <v>-3.9</v>
      </c>
      <c r="T13" s="58"/>
      <c r="U13" s="63"/>
      <c r="V13" s="68" t="str">
        <f>IF(Q24=Q25,"Await earlier tie",IF(Q24&lt;Q25,P25,P24))</f>
        <v>Mike Penk</v>
      </c>
      <c r="W13" s="72">
        <v>-7</v>
      </c>
      <c r="X13" s="64"/>
      <c r="Y13" s="78">
        <f>INDEX(Results!T:T,MATCH(V13,Results!V:V,0))</f>
        <v>-4.8</v>
      </c>
      <c r="Z13" s="58"/>
      <c r="AA13" s="63"/>
      <c r="AB13" s="68" t="str">
        <f>IF(W24=W25,"Await earlier tie",IF(W24&lt;W25,V25,V24))</f>
        <v>Naaman Boyd</v>
      </c>
      <c r="AC13" s="91"/>
      <c r="AD13" s="64"/>
      <c r="AE13" s="78">
        <f>INDEX(Results!T:T,MATCH(AB13,Results!V:V,0))</f>
        <v>-5.5</v>
      </c>
      <c r="AF13" s="76"/>
      <c r="AG13" s="60"/>
      <c r="AH13" s="70"/>
      <c r="AI13" s="72"/>
      <c r="AJ13" s="81"/>
      <c r="AK13" s="1"/>
      <c r="AL13" s="76"/>
      <c r="AM13" s="76"/>
      <c r="AN13" s="76"/>
      <c r="AO13" s="76"/>
      <c r="AP13" s="76"/>
      <c r="AQ13" s="76"/>
      <c r="AR13" s="76"/>
      <c r="AS13" s="76"/>
      <c r="AT13" s="76"/>
      <c r="AU13" s="76"/>
      <c r="AV13" s="76"/>
      <c r="AW13" s="76"/>
      <c r="AX13" s="76"/>
      <c r="AY13" s="76"/>
      <c r="AZ13" s="76"/>
      <c r="BA13" s="76"/>
      <c r="BB13" s="76"/>
      <c r="BC13" s="76"/>
      <c r="BD13" s="76"/>
      <c r="BE13" s="76"/>
      <c r="BF13" s="76"/>
    </row>
    <row r="14" spans="1:58">
      <c r="A14" s="103" t="s">
        <v>422</v>
      </c>
      <c r="B14" s="328"/>
      <c r="C14" s="453" t="str">
        <f>IF(B14="","",INDEX(Diary!B:B,MATCH(B14,Diary!C:C,0)))</f>
        <v/>
      </c>
      <c r="D14" s="328"/>
      <c r="E14" s="76"/>
      <c r="F14" s="65">
        <v>13</v>
      </c>
      <c r="G14" s="66" t="s">
        <v>272</v>
      </c>
      <c r="H14" s="58"/>
      <c r="I14" s="84">
        <v>7</v>
      </c>
      <c r="J14" s="71"/>
      <c r="K14" s="72"/>
      <c r="L14" s="73" t="str">
        <f>IF(K14="","",IF(K14=K15,"R",""))</f>
        <v/>
      </c>
      <c r="M14" s="75" t="e">
        <f>INDEX(Results!T:T,MATCH(J14,Results!V:V,0))</f>
        <v>#N/A</v>
      </c>
      <c r="N14" s="642">
        <v>13</v>
      </c>
      <c r="O14" s="84">
        <v>7</v>
      </c>
      <c r="P14" s="574" t="s">
        <v>272</v>
      </c>
      <c r="Q14" s="72">
        <v>2.5600000000000005</v>
      </c>
      <c r="R14" s="81" t="str">
        <f>IF(Q14="","",IF(Q14=Q15,"R",""))</f>
        <v/>
      </c>
      <c r="S14" s="78" t="e">
        <f>INDEX(Results!T:T,MATCH(P14,Results!V:V,0))</f>
        <v>#VALUE!</v>
      </c>
      <c r="T14" s="58"/>
      <c r="U14" s="60">
        <v>7</v>
      </c>
      <c r="V14" s="68" t="str">
        <f>IF(Q26=Q27,"Await earlier tie",IF(Q26&lt;Q27,P27,P26))</f>
        <v>Chris Luck</v>
      </c>
      <c r="W14" s="72">
        <v>-7</v>
      </c>
      <c r="X14" s="81" t="str">
        <f>IF(W14="","",IF(W14=W15,"R",""))</f>
        <v/>
      </c>
      <c r="Y14" s="78">
        <f>INDEX(Results!T:T,MATCH(V14,Results!V:V,0))</f>
        <v>-7</v>
      </c>
      <c r="Z14" s="58"/>
      <c r="AA14" s="60">
        <v>7</v>
      </c>
      <c r="AB14" s="68" t="str">
        <f>IF(W26=W27,"Await earlier tie",IF(W26&lt;W27,V27,V26))</f>
        <v>Mark Saunders</v>
      </c>
      <c r="AC14" s="91"/>
      <c r="AD14" s="73" t="str">
        <f>IF(AC14="","",IF(AC14=AC15,"R",""))</f>
        <v/>
      </c>
      <c r="AE14" s="78">
        <f>INDEX(Results!T:T,MATCH(AB14,Results!V:V,0))</f>
        <v>14.65625</v>
      </c>
      <c r="AF14" s="76"/>
      <c r="AG14" s="63"/>
      <c r="AH14" s="70"/>
      <c r="AI14" s="72"/>
      <c r="AJ14" s="64"/>
      <c r="AK14" s="80"/>
      <c r="AL14" s="76"/>
      <c r="AM14" s="76"/>
      <c r="AN14" s="76"/>
      <c r="AO14" s="76"/>
      <c r="AP14" s="76"/>
      <c r="AQ14" s="76"/>
      <c r="AR14" s="76"/>
      <c r="AS14" s="76"/>
      <c r="AT14" s="76"/>
      <c r="AU14" s="76"/>
      <c r="AV14" s="76"/>
      <c r="AW14" s="76"/>
      <c r="AX14" s="76"/>
      <c r="AY14" s="76"/>
      <c r="AZ14" s="76"/>
      <c r="BA14" s="76"/>
      <c r="BB14" s="76"/>
      <c r="BC14" s="76"/>
      <c r="BD14" s="76"/>
      <c r="BE14" s="76"/>
      <c r="BF14" s="76"/>
    </row>
    <row r="15" spans="1:58">
      <c r="A15" s="103" t="s">
        <v>423</v>
      </c>
      <c r="B15" s="537">
        <v>2</v>
      </c>
      <c r="C15" s="453">
        <f>IF(B15="","",INDEX(Diary!B:B,MATCH(B15,Diary!C:C,0)))</f>
        <v>46263</v>
      </c>
      <c r="D15" s="328"/>
      <c r="E15" s="76"/>
      <c r="F15" s="65">
        <v>14</v>
      </c>
      <c r="G15" s="66" t="s">
        <v>281</v>
      </c>
      <c r="H15" s="58"/>
      <c r="I15" s="83"/>
      <c r="J15" s="71"/>
      <c r="K15" s="72"/>
      <c r="L15" s="74"/>
      <c r="M15" s="75" t="e">
        <f>INDEX(Results!T:T,MATCH(J15,Results!V:V,0))</f>
        <v>#N/A</v>
      </c>
      <c r="N15" s="642">
        <v>14</v>
      </c>
      <c r="O15" s="83"/>
      <c r="P15" s="574" t="s">
        <v>281</v>
      </c>
      <c r="Q15" s="72">
        <v>-4.8</v>
      </c>
      <c r="R15" s="61"/>
      <c r="S15" s="78">
        <f>INDEX(Results!T:T,MATCH(P15,Results!V:V,0))</f>
        <v>-7</v>
      </c>
      <c r="T15" s="58"/>
      <c r="U15" s="63"/>
      <c r="V15" s="68" t="str">
        <f>IF(Q28=Q29,"Await earlier tie",IF(Q28&lt;Q29,P29,P28))</f>
        <v>Steve Carter</v>
      </c>
      <c r="W15" s="72">
        <v>-4.95</v>
      </c>
      <c r="X15" s="64"/>
      <c r="Y15" s="78">
        <f>INDEX(Results!T:T,MATCH(V15,Results!V:V,0))</f>
        <v>2.7100000000000009</v>
      </c>
      <c r="Z15" s="58"/>
      <c r="AA15" s="63"/>
      <c r="AB15" s="68" t="str">
        <f>IF(W28=W29,"Await earlier tie",IF(W28&lt;W29,V29,V28))</f>
        <v>Steven Naylor</v>
      </c>
      <c r="AC15" s="91"/>
      <c r="AD15" s="64"/>
      <c r="AE15" s="78">
        <f>INDEX(Results!T:T,MATCH(AB15,Results!V:V,0))</f>
        <v>-0.875</v>
      </c>
      <c r="AF15" s="76"/>
      <c r="AG15" s="60"/>
      <c r="AH15" s="62"/>
      <c r="AI15" s="72"/>
      <c r="AJ15" s="81" t="str">
        <f>IF(AI15="","",IF(AI15=AI16,"R",""))</f>
        <v/>
      </c>
      <c r="AK15" s="80"/>
      <c r="AL15" s="76"/>
      <c r="AM15" s="76"/>
      <c r="AN15" s="76"/>
      <c r="AO15" s="76"/>
      <c r="AP15" s="76"/>
      <c r="AQ15" s="76"/>
      <c r="AR15" s="76"/>
      <c r="AS15" s="76"/>
      <c r="AT15" s="76"/>
      <c r="AU15" s="76"/>
      <c r="AV15" s="76"/>
      <c r="AW15" s="76"/>
      <c r="AX15" s="76"/>
      <c r="AY15" s="76"/>
      <c r="AZ15" s="76"/>
      <c r="BA15" s="76"/>
      <c r="BB15" s="76"/>
      <c r="BC15" s="76"/>
      <c r="BD15" s="76"/>
      <c r="BE15" s="76"/>
      <c r="BF15" s="76"/>
    </row>
    <row r="16" spans="1:58">
      <c r="A16" s="103" t="s">
        <v>132</v>
      </c>
      <c r="B16" s="537">
        <v>5</v>
      </c>
      <c r="C16" s="453">
        <f>IF(B16="","",INDEX(Diary!B:B,MATCH(B16,Diary!C:C,0)))</f>
        <v>46284</v>
      </c>
      <c r="D16" s="328"/>
      <c r="E16" s="76"/>
      <c r="F16" s="65">
        <v>15</v>
      </c>
      <c r="G16" s="66" t="s">
        <v>292</v>
      </c>
      <c r="H16" s="58"/>
      <c r="I16" s="84">
        <v>8</v>
      </c>
      <c r="J16" s="71"/>
      <c r="K16" s="72"/>
      <c r="L16" s="73" t="str">
        <f>IF(K16="","",IF(K16=K17,"R",""))</f>
        <v/>
      </c>
      <c r="M16" s="75" t="e">
        <f>INDEX(Results!T:T,MATCH(J16,Results!V:V,0))</f>
        <v>#N/A</v>
      </c>
      <c r="N16" s="642">
        <v>15</v>
      </c>
      <c r="O16" s="84">
        <v>8</v>
      </c>
      <c r="P16" s="574" t="s">
        <v>292</v>
      </c>
      <c r="Q16" s="72">
        <v>19.080991735537197</v>
      </c>
      <c r="R16" s="81" t="str">
        <f>IF(Q16="","",IF(Q16=Q17,"R",""))</f>
        <v/>
      </c>
      <c r="S16" s="78">
        <f>INDEX(Results!T:T,MATCH(P16,Results!V:V,0))</f>
        <v>-7</v>
      </c>
      <c r="T16" s="58"/>
      <c r="U16" s="60">
        <v>8</v>
      </c>
      <c r="V16" s="68" t="str">
        <f>IF(Q30=Q31,"Await earlier tie",IF(Q30&lt;Q31,P31,P30))</f>
        <v>Simon Kimble</v>
      </c>
      <c r="W16" s="72">
        <v>-4.375</v>
      </c>
      <c r="X16" s="81" t="str">
        <f>IF(W16="","",IF(W16=W17,"R",""))</f>
        <v/>
      </c>
      <c r="Y16" s="78">
        <f>INDEX(Results!T:T,MATCH(V16,Results!V:V,0))</f>
        <v>-7</v>
      </c>
      <c r="Z16" s="58"/>
      <c r="AA16" s="60">
        <v>8</v>
      </c>
      <c r="AB16" s="68" t="str">
        <f>IF(W30=W31,"Await earlier tie",IF(W30&lt;W31,V31,V30))</f>
        <v>Nick Blocksidge</v>
      </c>
      <c r="AC16" s="91"/>
      <c r="AD16" s="73" t="str">
        <f>IF(AC16="","",IF(AC16=AC17,"R",""))</f>
        <v/>
      </c>
      <c r="AE16" s="78">
        <f>INDEX(Results!T:T,MATCH(AB16,Results!V:V,0))</f>
        <v>-2.0909090909090899</v>
      </c>
      <c r="AF16" s="76"/>
      <c r="AG16" s="67"/>
      <c r="AH16" s="62"/>
      <c r="AI16" s="72"/>
      <c r="AJ16" s="61"/>
      <c r="AK16" s="80"/>
      <c r="AL16" s="76"/>
      <c r="AM16" s="76"/>
      <c r="AN16" s="76"/>
      <c r="AO16" s="76"/>
      <c r="AP16" s="76"/>
      <c r="AQ16" s="76"/>
      <c r="AR16" s="76"/>
      <c r="AS16" s="76"/>
      <c r="AT16" s="76"/>
      <c r="AU16" s="76"/>
      <c r="AV16" s="76"/>
      <c r="AW16" s="76"/>
      <c r="AX16" s="76"/>
      <c r="AY16" s="76"/>
      <c r="AZ16" s="76"/>
      <c r="BA16" s="76"/>
      <c r="BB16" s="76"/>
      <c r="BC16" s="76"/>
      <c r="BD16" s="76"/>
      <c r="BE16" s="76"/>
      <c r="BF16" s="76"/>
    </row>
    <row r="17" spans="1:58">
      <c r="A17" s="103" t="s">
        <v>424</v>
      </c>
      <c r="B17" s="537">
        <v>8</v>
      </c>
      <c r="C17" s="453">
        <f>IF(B17="","",INDEX(Diary!B:B,MATCH(B17,Diary!C:C,0)))</f>
        <v>46312</v>
      </c>
      <c r="D17" s="328"/>
      <c r="E17" s="76"/>
      <c r="F17" s="65">
        <v>16</v>
      </c>
      <c r="G17" s="66" t="s">
        <v>267</v>
      </c>
      <c r="H17" s="58"/>
      <c r="I17" s="83"/>
      <c r="J17" s="71"/>
      <c r="K17" s="72"/>
      <c r="L17" s="74"/>
      <c r="M17" s="75" t="e">
        <f>INDEX(Results!T:T,MATCH(J17,Results!V:V,0))</f>
        <v>#N/A</v>
      </c>
      <c r="N17" s="642">
        <v>16</v>
      </c>
      <c r="O17" s="83"/>
      <c r="P17" s="574" t="s">
        <v>267</v>
      </c>
      <c r="Q17" s="72">
        <v>2.5600000000000005</v>
      </c>
      <c r="R17" s="61"/>
      <c r="S17" s="78">
        <f>INDEX(Results!T:T,MATCH(P17,Results!V:V,0))</f>
        <v>-5.2727272727272725</v>
      </c>
      <c r="T17" s="58"/>
      <c r="U17" s="63"/>
      <c r="V17" s="68" t="str">
        <f>IF(Q32=Q33,"Await earlier tie",IF(Q32&lt;Q33,P33,P32))</f>
        <v>Howard Bradley</v>
      </c>
      <c r="W17" s="72">
        <v>-1.125</v>
      </c>
      <c r="X17" s="64"/>
      <c r="Y17" s="78">
        <f>INDEX(Results!T:T,MATCH(V17,Results!V:V,0))</f>
        <v>-2.375</v>
      </c>
      <c r="Z17" s="58"/>
      <c r="AA17" s="67"/>
      <c r="AB17" s="68" t="str">
        <f>IF(W32=W33,"Await earlier tie",IF(W32&lt;W33,V33,V32))</f>
        <v>Paul Adderley</v>
      </c>
      <c r="AC17" s="91"/>
      <c r="AD17" s="61"/>
      <c r="AE17" s="78">
        <f>INDEX(Results!T:T,MATCH(AB17,Results!V:V,0))</f>
        <v>-5.2727272727272725</v>
      </c>
      <c r="AF17" s="76"/>
      <c r="AG17" s="60"/>
      <c r="AH17" s="70"/>
      <c r="AI17" s="72"/>
      <c r="AJ17" s="81" t="str">
        <f>IF(AI17="","",IF(AI17=AI18,"R",""))</f>
        <v/>
      </c>
      <c r="AK17" s="80"/>
      <c r="AL17" s="76"/>
      <c r="AM17" s="76"/>
      <c r="AN17" s="76"/>
      <c r="AO17" s="76"/>
      <c r="AP17" s="76"/>
      <c r="AQ17" s="76"/>
      <c r="AR17" s="76"/>
      <c r="AS17" s="76"/>
      <c r="AT17" s="76"/>
      <c r="AU17" s="76"/>
      <c r="AV17" s="76"/>
      <c r="AW17" s="76"/>
      <c r="AX17" s="76"/>
      <c r="AY17" s="76"/>
      <c r="AZ17" s="76"/>
      <c r="BA17" s="76"/>
      <c r="BB17" s="76"/>
      <c r="BC17" s="76"/>
      <c r="BD17" s="76"/>
      <c r="BE17" s="76"/>
      <c r="BF17" s="76"/>
    </row>
    <row r="18" spans="1:58">
      <c r="A18" s="103" t="s">
        <v>425</v>
      </c>
      <c r="B18" s="537">
        <v>12</v>
      </c>
      <c r="C18" s="453">
        <f>IF(B18="","",INDEX(Diary!B:B,MATCH(B18,Diary!C:C,0)))</f>
        <v>46333</v>
      </c>
      <c r="D18" s="328"/>
      <c r="E18" s="76"/>
      <c r="F18" s="65">
        <v>17</v>
      </c>
      <c r="G18" s="66" t="s">
        <v>266</v>
      </c>
      <c r="H18" s="58"/>
      <c r="I18" s="84">
        <v>9</v>
      </c>
      <c r="J18" s="71"/>
      <c r="K18" s="72"/>
      <c r="L18" s="73" t="str">
        <f>IF(K18="","",IF(K18=K19,"R",""))</f>
        <v/>
      </c>
      <c r="M18" s="75" t="e">
        <f>INDEX(Results!T:T,MATCH(J18,Results!V:V,0))</f>
        <v>#N/A</v>
      </c>
      <c r="N18" s="642">
        <v>17</v>
      </c>
      <c r="O18" s="84">
        <v>9</v>
      </c>
      <c r="P18" s="574" t="s">
        <v>266</v>
      </c>
      <c r="Q18" s="72">
        <v>-10</v>
      </c>
      <c r="R18" s="81" t="str">
        <f>IF(Q18="","",IF(Q18=Q19,"R",""))</f>
        <v/>
      </c>
      <c r="S18" s="78">
        <f>INDEX(Results!T:T,MATCH(P18,Results!V:V,0))</f>
        <v>-7</v>
      </c>
      <c r="T18" s="58"/>
      <c r="U18" s="60">
        <v>9</v>
      </c>
      <c r="V18" s="68" t="str">
        <f>IF(Q34=Q35,"Await earlier tie",IF(Q34&lt;Q35,P35,P34))</f>
        <v>Jack Walsh</v>
      </c>
      <c r="W18" s="72">
        <v>-5.25</v>
      </c>
      <c r="X18" s="81" t="str">
        <f>IF(W18="","",IF(W18=W19,"R",""))</f>
        <v/>
      </c>
      <c r="Y18" s="78">
        <f>INDEX(Results!T:T,MATCH(V18,Results!V:V,0))</f>
        <v>-4.8</v>
      </c>
      <c r="Z18" s="58"/>
      <c r="AA18" s="58"/>
      <c r="AB18" s="58"/>
      <c r="AC18" s="58"/>
      <c r="AD18" s="58"/>
      <c r="AE18" s="80"/>
      <c r="AF18" s="76"/>
      <c r="AG18" s="63"/>
      <c r="AH18" s="70"/>
      <c r="AI18" s="72"/>
      <c r="AJ18" s="64"/>
      <c r="AK18" s="80"/>
      <c r="AL18" s="76"/>
      <c r="AM18" s="76"/>
      <c r="AN18" s="76"/>
      <c r="AO18" s="76"/>
      <c r="AP18" s="76"/>
      <c r="AQ18" s="76"/>
      <c r="AR18" s="76"/>
      <c r="AS18" s="76"/>
      <c r="AT18" s="76"/>
      <c r="AU18" s="76"/>
      <c r="AV18" s="76"/>
      <c r="AW18" s="76"/>
      <c r="AX18" s="76"/>
      <c r="AY18" s="76"/>
      <c r="AZ18" s="76"/>
      <c r="BA18" s="76"/>
      <c r="BB18" s="76"/>
      <c r="BC18" s="76"/>
      <c r="BD18" s="76"/>
      <c r="BE18" s="76"/>
      <c r="BF18" s="76"/>
    </row>
    <row r="19" spans="1:58">
      <c r="A19" s="103" t="s">
        <v>136</v>
      </c>
      <c r="B19" s="537">
        <v>15</v>
      </c>
      <c r="C19" s="453">
        <f>IF(B19="","",INDEX(Diary!B:B,MATCH(B19,Diary!C:C,0)))</f>
        <v>46354</v>
      </c>
      <c r="D19" s="328"/>
      <c r="E19" s="76"/>
      <c r="F19" s="65">
        <v>18</v>
      </c>
      <c r="G19" s="66" t="s">
        <v>287</v>
      </c>
      <c r="H19" s="58"/>
      <c r="I19" s="83"/>
      <c r="J19" s="71"/>
      <c r="K19" s="72"/>
      <c r="L19" s="74"/>
      <c r="M19" s="75" t="e">
        <f>INDEX(Results!T:T,MATCH(J19,Results!V:V,0))</f>
        <v>#N/A</v>
      </c>
      <c r="N19" s="642">
        <v>18</v>
      </c>
      <c r="O19" s="83"/>
      <c r="P19" s="574" t="s">
        <v>287</v>
      </c>
      <c r="Q19" s="72">
        <v>-1.125</v>
      </c>
      <c r="R19" s="61"/>
      <c r="S19" s="78">
        <f>INDEX(Results!T:T,MATCH(P19,Results!V:V,0))</f>
        <v>-5.6363636363636367</v>
      </c>
      <c r="T19" s="58"/>
      <c r="U19" s="63"/>
      <c r="V19" s="68" t="str">
        <f>IF(Q36=Q37,"Await earlier tie",IF(Q36&lt;Q37,P37,P36))</f>
        <v>Lennie Bow</v>
      </c>
      <c r="W19" s="72">
        <v>-5.5</v>
      </c>
      <c r="X19" s="64"/>
      <c r="Y19" s="78">
        <f>INDEX(Results!T:T,MATCH(V19,Results!V:V,0))</f>
        <v>-7</v>
      </c>
      <c r="Z19" s="58"/>
      <c r="AA19" s="58"/>
      <c r="AB19" s="58"/>
      <c r="AC19" s="58"/>
      <c r="AD19" s="58"/>
      <c r="AE19" s="80"/>
      <c r="AF19" s="76"/>
      <c r="AG19" s="60"/>
      <c r="AH19" s="62"/>
      <c r="AI19" s="72"/>
      <c r="AJ19" s="81" t="str">
        <f>IF(AI19="","",IF(AI19=AI20,"R",""))</f>
        <v/>
      </c>
      <c r="AK19" s="80"/>
      <c r="AL19" s="76"/>
      <c r="AM19" s="76"/>
      <c r="AN19" s="76"/>
      <c r="AO19" s="76"/>
      <c r="AP19" s="76"/>
      <c r="AQ19" s="76"/>
      <c r="AR19" s="76"/>
      <c r="AS19" s="76"/>
      <c r="AT19" s="76"/>
      <c r="AU19" s="76"/>
      <c r="AV19" s="76"/>
      <c r="AW19" s="76"/>
      <c r="AX19" s="76"/>
      <c r="AY19" s="76"/>
      <c r="AZ19" s="76"/>
      <c r="BA19" s="76"/>
      <c r="BB19" s="76"/>
      <c r="BC19" s="76"/>
      <c r="BD19" s="76"/>
      <c r="BE19" s="76"/>
      <c r="BF19" s="76"/>
    </row>
    <row r="20" spans="1:58">
      <c r="A20" s="103" t="s">
        <v>18</v>
      </c>
      <c r="B20" s="537">
        <v>18</v>
      </c>
      <c r="C20" s="453">
        <f>IF(B20="","",INDEX(Diary!B:B,MATCH(B20,Diary!C:C,0)))</f>
        <v>46375</v>
      </c>
      <c r="D20" s="328"/>
      <c r="E20" s="76"/>
      <c r="F20" s="65">
        <v>19</v>
      </c>
      <c r="G20" s="66" t="s">
        <v>283</v>
      </c>
      <c r="H20" s="58"/>
      <c r="I20" s="84">
        <v>10</v>
      </c>
      <c r="J20" s="71"/>
      <c r="K20" s="72"/>
      <c r="L20" s="73" t="str">
        <f>IF(K20="","",IF(K20=K21,"R",""))</f>
        <v/>
      </c>
      <c r="M20" s="75" t="e">
        <f>INDEX(Results!T:T,MATCH(J20,Results!V:V,0))</f>
        <v>#N/A</v>
      </c>
      <c r="N20" s="642">
        <v>19</v>
      </c>
      <c r="O20" s="84">
        <v>10</v>
      </c>
      <c r="P20" s="574" t="s">
        <v>283</v>
      </c>
      <c r="Q20" s="72">
        <v>1.120000000000001</v>
      </c>
      <c r="R20" s="81" t="str">
        <f>IF(Q20="","",IF(Q20=Q21,"R",""))</f>
        <v/>
      </c>
      <c r="S20" s="78">
        <f>INDEX(Results!T:T,MATCH(P20,Results!V:V,0))</f>
        <v>-5.2727272727272725</v>
      </c>
      <c r="T20" s="58"/>
      <c r="U20" s="60">
        <v>10</v>
      </c>
      <c r="V20" s="68" t="s">
        <v>271</v>
      </c>
      <c r="W20" s="72">
        <v>-4.95</v>
      </c>
      <c r="X20" s="81" t="str">
        <f>IF(W20="","",IF(W20=W21,"R",""))</f>
        <v/>
      </c>
      <c r="Y20" s="78">
        <f>INDEX(Results!T:T,MATCH(V20,Results!V:V,0))</f>
        <v>-5.5</v>
      </c>
      <c r="Z20" s="58"/>
      <c r="AA20" s="58"/>
      <c r="AB20" s="58"/>
      <c r="AC20" s="58"/>
      <c r="AD20" s="58"/>
      <c r="AE20" s="80"/>
      <c r="AF20" s="76"/>
      <c r="AG20" s="67"/>
      <c r="AH20" s="62"/>
      <c r="AI20" s="72"/>
      <c r="AJ20" s="61"/>
      <c r="AK20" s="80"/>
      <c r="AL20" s="76"/>
      <c r="AM20" s="76"/>
      <c r="AN20" s="76"/>
      <c r="AO20" s="76"/>
      <c r="AP20" s="76"/>
      <c r="AQ20" s="76"/>
      <c r="AR20" s="76"/>
      <c r="AS20" s="76"/>
      <c r="AT20" s="76"/>
      <c r="AU20" s="76"/>
      <c r="AV20" s="76"/>
      <c r="AW20" s="76"/>
      <c r="AX20" s="76"/>
      <c r="AY20" s="76"/>
      <c r="AZ20" s="76"/>
      <c r="BA20" s="76"/>
      <c r="BB20" s="76"/>
      <c r="BC20" s="76"/>
      <c r="BD20" s="76"/>
      <c r="BE20" s="76"/>
      <c r="BF20" s="76"/>
    </row>
    <row r="21" spans="1:58">
      <c r="A21" s="76"/>
      <c r="B21" s="76"/>
      <c r="C21" s="77"/>
      <c r="D21" s="77"/>
      <c r="E21" s="76"/>
      <c r="F21" s="65">
        <v>20</v>
      </c>
      <c r="G21" s="66" t="s">
        <v>277</v>
      </c>
      <c r="H21" s="58"/>
      <c r="I21" s="83"/>
      <c r="J21" s="71"/>
      <c r="K21" s="72"/>
      <c r="L21" s="74"/>
      <c r="M21" s="75" t="e">
        <f>INDEX(Results!T:T,MATCH(J21,Results!V:V,0))</f>
        <v>#N/A</v>
      </c>
      <c r="N21" s="642">
        <v>20</v>
      </c>
      <c r="O21" s="83"/>
      <c r="P21" s="574" t="s">
        <v>277</v>
      </c>
      <c r="Q21" s="72">
        <v>-4.8</v>
      </c>
      <c r="R21" s="61"/>
      <c r="S21" s="78">
        <f>INDEX(Results!T:T,MATCH(P21,Results!V:V,0))</f>
        <v>-4.5999999999999996</v>
      </c>
      <c r="T21" s="58"/>
      <c r="U21" s="63"/>
      <c r="V21" s="68" t="s">
        <v>350</v>
      </c>
      <c r="W21" s="72">
        <v>-10</v>
      </c>
      <c r="X21" s="64"/>
      <c r="Y21" s="78" t="e">
        <f>INDEX(Results!T:T,MATCH(V21,Results!V:V,0))</f>
        <v>#VALUE!</v>
      </c>
      <c r="Z21" s="58"/>
      <c r="AA21" s="328" t="s">
        <v>484</v>
      </c>
      <c r="AB21" s="103"/>
      <c r="AC21" s="103"/>
      <c r="AD21" s="103"/>
      <c r="AE21" s="80"/>
      <c r="AF21" s="76"/>
      <c r="AG21" s="76"/>
      <c r="AH21" s="76"/>
      <c r="AI21" s="76"/>
      <c r="AJ21" s="76"/>
      <c r="AK21" s="76"/>
      <c r="AL21" s="76"/>
      <c r="AM21" s="76"/>
      <c r="AN21" s="76"/>
      <c r="AO21" s="76"/>
      <c r="AP21" s="76"/>
      <c r="AQ21" s="76"/>
      <c r="AR21" s="76"/>
      <c r="AS21" s="76"/>
      <c r="AT21" s="76"/>
      <c r="AU21" s="76"/>
      <c r="AV21" s="76"/>
      <c r="AW21" s="76"/>
      <c r="AX21" s="76"/>
      <c r="AY21" s="76"/>
      <c r="AZ21" s="76"/>
      <c r="BA21" s="76"/>
      <c r="BB21" s="76"/>
      <c r="BC21" s="76"/>
      <c r="BD21" s="76"/>
      <c r="BE21" s="76"/>
      <c r="BF21" s="76"/>
    </row>
    <row r="22" spans="1:58">
      <c r="A22" s="76"/>
      <c r="B22" s="76"/>
      <c r="C22" s="77"/>
      <c r="D22" s="77"/>
      <c r="E22" s="76"/>
      <c r="F22" s="65">
        <v>21</v>
      </c>
      <c r="G22" s="66" t="s">
        <v>288</v>
      </c>
      <c r="H22" s="58"/>
      <c r="I22" s="84">
        <v>11</v>
      </c>
      <c r="J22" s="71"/>
      <c r="K22" s="72"/>
      <c r="L22" s="73" t="str">
        <f>IF(K22="","",IF(K22=K23,"R",""))</f>
        <v/>
      </c>
      <c r="M22" s="75" t="e">
        <f>INDEX(Results!T:T,MATCH(J22,Results!V:V,0))</f>
        <v>#N/A</v>
      </c>
      <c r="N22" s="642">
        <v>21</v>
      </c>
      <c r="O22" s="84">
        <v>11</v>
      </c>
      <c r="P22" s="574" t="s">
        <v>288</v>
      </c>
      <c r="Q22" s="72">
        <v>5.259999999999998</v>
      </c>
      <c r="R22" s="81" t="str">
        <f>IF(Q22="","",IF(Q22=Q23,"R",""))</f>
        <v/>
      </c>
      <c r="S22" s="78">
        <f>INDEX(Results!T:T,MATCH(P22,Results!V:V,0))</f>
        <v>16.990000000000002</v>
      </c>
      <c r="T22" s="58"/>
      <c r="U22" s="60">
        <v>11</v>
      </c>
      <c r="V22" s="68" t="s">
        <v>518</v>
      </c>
      <c r="W22" s="72">
        <v>-5.1666666666666661</v>
      </c>
      <c r="X22" s="81" t="str">
        <f>IF(W22="","",IF(W22=W23,"R",""))</f>
        <v/>
      </c>
      <c r="Y22" s="78">
        <f>INDEX(Results!T:T,MATCH(V22,Results!V:V,0))</f>
        <v>-7</v>
      </c>
      <c r="Z22" s="58"/>
      <c r="AA22" s="60"/>
      <c r="AB22" s="68"/>
      <c r="AC22" s="91"/>
      <c r="AD22" s="73"/>
      <c r="AE22" s="80"/>
      <c r="AF22" s="76"/>
      <c r="AG22" s="76"/>
      <c r="AH22" s="76"/>
      <c r="AI22" s="76"/>
      <c r="AJ22" s="76"/>
      <c r="AK22" s="76"/>
      <c r="AL22" s="76"/>
      <c r="AM22" s="76"/>
      <c r="AN22" s="76"/>
      <c r="AO22" s="76"/>
      <c r="AP22" s="76"/>
      <c r="AQ22" s="76"/>
      <c r="AR22" s="76"/>
      <c r="AS22" s="76"/>
      <c r="AT22" s="76"/>
      <c r="AU22" s="76"/>
      <c r="AV22" s="76"/>
      <c r="AW22" s="76"/>
      <c r="AX22" s="76"/>
      <c r="AY22" s="76"/>
      <c r="AZ22" s="76"/>
      <c r="BA22" s="76"/>
      <c r="BB22" s="76"/>
      <c r="BC22" s="76"/>
      <c r="BD22" s="76"/>
      <c r="BE22" s="76"/>
      <c r="BF22" s="76"/>
    </row>
    <row r="23" spans="1:58">
      <c r="A23" s="76"/>
      <c r="B23" s="76"/>
      <c r="C23" s="77"/>
      <c r="D23" s="77"/>
      <c r="E23" s="76"/>
      <c r="F23" s="65">
        <v>22</v>
      </c>
      <c r="G23" s="66" t="s">
        <v>284</v>
      </c>
      <c r="H23" s="58"/>
      <c r="I23" s="83"/>
      <c r="J23" s="71"/>
      <c r="K23" s="72"/>
      <c r="L23" s="74"/>
      <c r="M23" s="75" t="e">
        <f>INDEX(Results!T:T,MATCH(J23,Results!V:V,0))</f>
        <v>#N/A</v>
      </c>
      <c r="N23" s="642">
        <v>22</v>
      </c>
      <c r="O23" s="83"/>
      <c r="P23" s="574" t="s">
        <v>284</v>
      </c>
      <c r="Q23" s="72">
        <v>-5.5555555555555554</v>
      </c>
      <c r="R23" s="61"/>
      <c r="S23" s="78">
        <f>INDEX(Results!T:T,MATCH(P23,Results!V:V,0))</f>
        <v>15.625</v>
      </c>
      <c r="T23" s="58"/>
      <c r="U23" s="63"/>
      <c r="V23" s="68" t="s">
        <v>289</v>
      </c>
      <c r="W23" s="72">
        <v>-7</v>
      </c>
      <c r="X23" s="64"/>
      <c r="Y23" s="78">
        <f>INDEX(Results!T:T,MATCH(V23,Results!V:V,0))</f>
        <v>-1.75</v>
      </c>
      <c r="Z23" s="58"/>
      <c r="AA23" s="63"/>
      <c r="AB23" s="68"/>
      <c r="AC23" s="91"/>
      <c r="AD23" s="64"/>
      <c r="AE23" s="80"/>
      <c r="AF23" s="76"/>
      <c r="AG23" s="76"/>
      <c r="AH23" s="76"/>
      <c r="AI23" s="76"/>
      <c r="AJ23" s="76"/>
      <c r="AK23" s="76"/>
      <c r="AL23" s="76"/>
      <c r="AM23" s="76"/>
      <c r="AN23" s="76"/>
      <c r="AO23" s="76"/>
      <c r="AP23" s="76"/>
      <c r="AQ23" s="76"/>
      <c r="AR23" s="76"/>
      <c r="AS23" s="76"/>
      <c r="AT23" s="76"/>
      <c r="AU23" s="76"/>
      <c r="AV23" s="76"/>
      <c r="AW23" s="76"/>
      <c r="AX23" s="76"/>
      <c r="AY23" s="76"/>
      <c r="AZ23" s="76"/>
      <c r="BA23" s="76"/>
      <c r="BB23" s="76"/>
      <c r="BC23" s="76"/>
      <c r="BD23" s="76"/>
      <c r="BE23" s="76"/>
      <c r="BF23" s="76"/>
    </row>
    <row r="24" spans="1:58">
      <c r="A24" s="76"/>
      <c r="B24" s="76"/>
      <c r="C24" s="77"/>
      <c r="D24" s="77"/>
      <c r="E24" s="76"/>
      <c r="F24" s="65">
        <v>23</v>
      </c>
      <c r="G24" s="66" t="s">
        <v>290</v>
      </c>
      <c r="H24" s="58"/>
      <c r="I24" s="84">
        <v>12</v>
      </c>
      <c r="J24" s="71"/>
      <c r="K24" s="72"/>
      <c r="L24" s="73" t="str">
        <f>IF(K24="","",IF(K24=K25,"R",""))</f>
        <v/>
      </c>
      <c r="M24" s="75" t="e">
        <f>INDEX(Results!T:T,MATCH(J24,Results!V:V,0))</f>
        <v>#N/A</v>
      </c>
      <c r="N24" s="642">
        <v>23</v>
      </c>
      <c r="O24" s="84">
        <v>12</v>
      </c>
      <c r="P24" s="574" t="s">
        <v>290</v>
      </c>
      <c r="Q24" s="72">
        <v>-4.8</v>
      </c>
      <c r="R24" s="81" t="str">
        <f>IF(Q24="","",IF(Q24=Q25,"R",""))</f>
        <v/>
      </c>
      <c r="S24" s="78">
        <f>INDEX(Results!T:T,MATCH(P24,Results!V:V,0))</f>
        <v>-7</v>
      </c>
      <c r="T24" s="58"/>
      <c r="U24" s="60">
        <v>12</v>
      </c>
      <c r="V24" s="68" t="s">
        <v>480</v>
      </c>
      <c r="W24" s="72">
        <v>-5.25</v>
      </c>
      <c r="X24" s="81" t="str">
        <f>IF(W24="","",IF(W24=W25,"R",""))</f>
        <v/>
      </c>
      <c r="Y24" s="78">
        <f>INDEX(Results!T:T,MATCH(V24,Results!V:V,0))</f>
        <v>-4.5999999999999996</v>
      </c>
      <c r="Z24" s="58"/>
      <c r="AA24" s="60"/>
      <c r="AB24" s="62"/>
      <c r="AC24" s="72"/>
      <c r="AD24" s="81"/>
      <c r="AE24" s="80"/>
      <c r="AF24" s="76"/>
      <c r="AG24" s="76"/>
      <c r="AH24" s="76"/>
      <c r="AI24" s="76"/>
      <c r="AJ24" s="76"/>
      <c r="AK24" s="76"/>
      <c r="AL24" s="76"/>
      <c r="AM24" s="76"/>
      <c r="AN24" s="76"/>
      <c r="AO24" s="76"/>
      <c r="AP24" s="76"/>
      <c r="AQ24" s="76"/>
      <c r="AR24" s="76"/>
      <c r="AS24" s="76"/>
      <c r="AT24" s="76"/>
      <c r="AU24" s="76"/>
      <c r="AV24" s="76"/>
      <c r="AW24" s="76"/>
      <c r="AX24" s="76"/>
      <c r="AY24" s="76"/>
      <c r="AZ24" s="76"/>
      <c r="BA24" s="76"/>
      <c r="BB24" s="76"/>
      <c r="BC24" s="76"/>
      <c r="BD24" s="76"/>
      <c r="BE24" s="76"/>
      <c r="BF24" s="76"/>
    </row>
    <row r="25" spans="1:58">
      <c r="A25" s="76"/>
      <c r="B25" s="76"/>
      <c r="C25" s="77"/>
      <c r="D25" s="77"/>
      <c r="E25" s="76"/>
      <c r="F25" s="65">
        <v>24</v>
      </c>
      <c r="G25" s="66" t="s">
        <v>280</v>
      </c>
      <c r="H25" s="58"/>
      <c r="I25" s="83"/>
      <c r="J25" s="71"/>
      <c r="K25" s="72"/>
      <c r="L25" s="74"/>
      <c r="M25" s="75" t="e">
        <f>INDEX(Results!T:T,MATCH(J25,Results!V:V,0))</f>
        <v>#N/A</v>
      </c>
      <c r="N25" s="642">
        <v>24</v>
      </c>
      <c r="O25" s="83"/>
      <c r="P25" s="574" t="s">
        <v>280</v>
      </c>
      <c r="Q25" s="72">
        <v>3.3454545454545457</v>
      </c>
      <c r="R25" s="61"/>
      <c r="S25" s="78">
        <f>INDEX(Results!T:T,MATCH(P25,Results!V:V,0))</f>
        <v>-4.8</v>
      </c>
      <c r="T25" s="58"/>
      <c r="U25" s="63"/>
      <c r="V25" s="68" t="s">
        <v>535</v>
      </c>
      <c r="W25" s="72">
        <v>0.48571428571428488</v>
      </c>
      <c r="X25" s="64"/>
      <c r="Y25" s="78">
        <f>INDEX(Results!T:T,MATCH(V25,Results!V:V,0))</f>
        <v>-5.5</v>
      </c>
      <c r="Z25" s="58"/>
      <c r="AA25" s="67"/>
      <c r="AB25" s="62"/>
      <c r="AC25" s="72"/>
      <c r="AD25" s="61"/>
      <c r="AE25" s="80"/>
      <c r="AF25" s="76"/>
      <c r="AG25" s="76"/>
      <c r="AH25" s="76"/>
      <c r="AI25" s="76"/>
      <c r="AJ25" s="76"/>
      <c r="AK25" s="76"/>
      <c r="AL25" s="76"/>
      <c r="AM25" s="76"/>
      <c r="AN25" s="76"/>
      <c r="AO25" s="76"/>
      <c r="AP25" s="76"/>
      <c r="AQ25" s="76"/>
      <c r="AR25" s="76"/>
      <c r="AS25" s="76"/>
      <c r="AT25" s="76"/>
      <c r="AU25" s="76"/>
      <c r="AV25" s="76"/>
      <c r="AW25" s="76"/>
      <c r="AX25" s="76"/>
      <c r="AY25" s="76"/>
      <c r="AZ25" s="76"/>
      <c r="BA25" s="76"/>
      <c r="BB25" s="76"/>
      <c r="BC25" s="76"/>
      <c r="BD25" s="76"/>
      <c r="BE25" s="76"/>
      <c r="BF25" s="76"/>
    </row>
    <row r="26" spans="1:58">
      <c r="A26" s="76"/>
      <c r="B26" s="76"/>
      <c r="C26" s="77"/>
      <c r="D26" s="77"/>
      <c r="E26" s="76"/>
      <c r="F26" s="65">
        <v>25</v>
      </c>
      <c r="G26" s="66" t="s">
        <v>296</v>
      </c>
      <c r="H26" s="58"/>
      <c r="I26" s="84">
        <v>13</v>
      </c>
      <c r="J26" s="71"/>
      <c r="K26" s="72"/>
      <c r="L26" s="73" t="str">
        <f>IF(K26="","",IF(K26=K27,"R",""))</f>
        <v/>
      </c>
      <c r="M26" s="75" t="e">
        <f>INDEX(Results!T:T,MATCH(J26,Results!V:V,0))</f>
        <v>#N/A</v>
      </c>
      <c r="N26" s="642">
        <v>25</v>
      </c>
      <c r="O26" s="84">
        <v>13</v>
      </c>
      <c r="P26" s="574" t="s">
        <v>296</v>
      </c>
      <c r="Q26" s="72">
        <v>12</v>
      </c>
      <c r="R26" s="81" t="str">
        <f>IF(Q26="","",IF(Q26=Q27,"R",""))</f>
        <v/>
      </c>
      <c r="S26" s="78">
        <f>INDEX(Results!T:T,MATCH(P26,Results!V:V,0))</f>
        <v>-7</v>
      </c>
      <c r="T26" s="58"/>
      <c r="U26" s="60">
        <v>13</v>
      </c>
      <c r="V26" s="68" t="s">
        <v>414</v>
      </c>
      <c r="W26" s="72">
        <v>-7</v>
      </c>
      <c r="X26" s="81" t="str">
        <f>IF(W26="","",IF(W26=W27,"R",""))</f>
        <v/>
      </c>
      <c r="Y26" s="78">
        <f>INDEX(Results!T:T,MATCH(V26,Results!V:V,0))</f>
        <v>-5.6363636363636367</v>
      </c>
      <c r="Z26" s="58"/>
      <c r="AA26" s="60"/>
      <c r="AB26" s="70"/>
      <c r="AC26" s="72"/>
      <c r="AD26" s="81" t="str">
        <f>IF(AC26="","",IF(AC26=AC27,"R",""))</f>
        <v/>
      </c>
      <c r="AE26" s="80"/>
      <c r="AF26" s="76"/>
      <c r="AG26" s="76"/>
      <c r="AH26" s="76"/>
      <c r="AI26" s="76"/>
      <c r="AJ26" s="76"/>
      <c r="AK26" s="76"/>
      <c r="AL26" s="76"/>
      <c r="AM26" s="76"/>
      <c r="AN26" s="76"/>
      <c r="AO26" s="76"/>
      <c r="AP26" s="76"/>
      <c r="AQ26" s="76"/>
      <c r="AR26" s="76"/>
      <c r="AS26" s="76"/>
      <c r="AT26" s="76"/>
      <c r="AU26" s="76"/>
      <c r="AV26" s="76"/>
      <c r="AW26" s="76"/>
      <c r="AX26" s="76"/>
      <c r="AY26" s="76"/>
      <c r="AZ26" s="76"/>
      <c r="BA26" s="76"/>
      <c r="BB26" s="76"/>
      <c r="BC26" s="76"/>
      <c r="BD26" s="76"/>
      <c r="BE26" s="76"/>
      <c r="BF26" s="76"/>
    </row>
    <row r="27" spans="1:58">
      <c r="A27" s="76"/>
      <c r="B27" s="76"/>
      <c r="C27" s="77"/>
      <c r="D27" s="77"/>
      <c r="E27" s="76"/>
      <c r="F27" s="65">
        <v>26</v>
      </c>
      <c r="G27" s="66" t="s">
        <v>295</v>
      </c>
      <c r="H27" s="58"/>
      <c r="I27" s="83"/>
      <c r="J27" s="71"/>
      <c r="K27" s="72"/>
      <c r="L27" s="74"/>
      <c r="M27" s="75" t="e">
        <f>INDEX(Results!T:T,MATCH(J27,Results!V:V,0))</f>
        <v>#N/A</v>
      </c>
      <c r="N27" s="642">
        <v>45</v>
      </c>
      <c r="O27" s="83"/>
      <c r="P27" s="574" t="s">
        <v>295</v>
      </c>
      <c r="Q27" s="72">
        <v>-7</v>
      </c>
      <c r="R27" s="61"/>
      <c r="S27" s="78">
        <f>INDEX(Results!T:T,MATCH(P27,Results!V:V,0))</f>
        <v>-4.8499999999999996</v>
      </c>
      <c r="T27" s="58"/>
      <c r="U27" s="63"/>
      <c r="V27" s="68" t="s">
        <v>273</v>
      </c>
      <c r="W27" s="72">
        <v>-0.92857142857142883</v>
      </c>
      <c r="X27" s="64"/>
      <c r="Y27" s="78">
        <f>INDEX(Results!T:T,MATCH(V27,Results!V:V,0))</f>
        <v>14.65625</v>
      </c>
      <c r="Z27" s="58"/>
      <c r="AA27" s="63"/>
      <c r="AB27" s="70"/>
      <c r="AC27" s="72"/>
      <c r="AD27" s="64"/>
      <c r="AE27" s="80"/>
      <c r="AF27" s="76"/>
      <c r="AG27" s="76"/>
      <c r="AH27" s="76"/>
      <c r="AI27" s="76"/>
      <c r="AJ27" s="76"/>
      <c r="AK27" s="76"/>
      <c r="AL27" s="76"/>
      <c r="AM27" s="76"/>
      <c r="AN27" s="76"/>
      <c r="AO27" s="76"/>
      <c r="AP27" s="76"/>
      <c r="AQ27" s="76"/>
      <c r="AR27" s="76"/>
      <c r="AS27" s="76"/>
      <c r="AT27" s="76"/>
      <c r="AU27" s="76"/>
      <c r="AV27" s="76"/>
      <c r="AW27" s="76"/>
      <c r="AX27" s="76"/>
      <c r="AY27" s="76"/>
      <c r="AZ27" s="76"/>
      <c r="BA27" s="76"/>
      <c r="BB27" s="76"/>
      <c r="BC27" s="76"/>
      <c r="BD27" s="76"/>
      <c r="BE27" s="76"/>
      <c r="BF27" s="76"/>
    </row>
    <row r="28" spans="1:58">
      <c r="A28" s="76"/>
      <c r="B28" s="76"/>
      <c r="C28" s="77"/>
      <c r="D28" s="77"/>
      <c r="E28" s="76"/>
      <c r="F28" s="65">
        <v>27</v>
      </c>
      <c r="G28" s="66" t="s">
        <v>481</v>
      </c>
      <c r="H28" s="58"/>
      <c r="I28" s="84">
        <v>14</v>
      </c>
      <c r="J28" s="71"/>
      <c r="K28" s="72"/>
      <c r="L28" s="73" t="str">
        <f>IF(K28="","",IF(K28=K29,"R",""))</f>
        <v/>
      </c>
      <c r="M28" s="75" t="e">
        <f>INDEX(Results!T:T,MATCH(J28,Results!V:V,0))</f>
        <v>#N/A</v>
      </c>
      <c r="N28" s="642">
        <v>26</v>
      </c>
      <c r="O28" s="84">
        <v>14</v>
      </c>
      <c r="P28" s="574" t="s">
        <v>481</v>
      </c>
      <c r="Q28" s="72">
        <v>-7</v>
      </c>
      <c r="R28" s="81" t="str">
        <f>IF(Q28="","",IF(Q28=Q29,"R",""))</f>
        <v/>
      </c>
      <c r="S28" s="78">
        <f>INDEX(Results!T:T,MATCH(P28,Results!V:V,0))</f>
        <v>-1.4615384615384617</v>
      </c>
      <c r="T28" s="58"/>
      <c r="U28" s="60">
        <v>14</v>
      </c>
      <c r="V28" s="68" t="s">
        <v>517</v>
      </c>
      <c r="W28" s="72">
        <v>-7</v>
      </c>
      <c r="X28" s="81" t="str">
        <f>IF(W28="","",IF(W28=W29,"R",""))</f>
        <v/>
      </c>
      <c r="Y28" s="78">
        <f>INDEX(Results!T:T,MATCH(V28,Results!V:V,0))</f>
        <v>-5.15</v>
      </c>
      <c r="Z28" s="58"/>
      <c r="AA28" s="60"/>
      <c r="AB28" s="62"/>
      <c r="AC28" s="72"/>
      <c r="AD28" s="81" t="str">
        <f>IF(AC28="","",IF(AC28=AC29,"R",""))</f>
        <v/>
      </c>
      <c r="AE28" s="80"/>
      <c r="AF28" s="76"/>
      <c r="AG28" s="76"/>
      <c r="AH28" s="76"/>
      <c r="AI28" s="76"/>
      <c r="AJ28" s="76"/>
      <c r="AK28" s="76"/>
      <c r="AL28" s="76"/>
      <c r="AM28" s="76"/>
      <c r="AN28" s="76"/>
      <c r="AO28" s="76"/>
      <c r="AP28" s="76"/>
      <c r="AQ28" s="76"/>
      <c r="AR28" s="76"/>
      <c r="AS28" s="76"/>
      <c r="AT28" s="76"/>
      <c r="AU28" s="76"/>
      <c r="AV28" s="76"/>
      <c r="AW28" s="76"/>
      <c r="AX28" s="76"/>
      <c r="AY28" s="76"/>
      <c r="AZ28" s="76"/>
      <c r="BA28" s="76"/>
      <c r="BB28" s="76"/>
      <c r="BC28" s="76"/>
      <c r="BD28" s="76"/>
      <c r="BE28" s="76"/>
      <c r="BF28" s="76"/>
    </row>
    <row r="29" spans="1:58">
      <c r="A29" s="76"/>
      <c r="B29" s="76"/>
      <c r="C29" s="77"/>
      <c r="D29" s="77"/>
      <c r="E29" s="76"/>
      <c r="F29" s="65">
        <v>28</v>
      </c>
      <c r="G29" s="66" t="s">
        <v>269</v>
      </c>
      <c r="H29" s="58"/>
      <c r="I29" s="83"/>
      <c r="J29" s="71"/>
      <c r="K29" s="72"/>
      <c r="L29" s="74"/>
      <c r="M29" s="75" t="e">
        <f>INDEX(Results!T:T,MATCH(J29,Results!V:V,0))</f>
        <v>#N/A</v>
      </c>
      <c r="N29" s="642">
        <v>46</v>
      </c>
      <c r="O29" s="83"/>
      <c r="P29" s="574" t="s">
        <v>269</v>
      </c>
      <c r="Q29" s="72">
        <v>-0.8888888888888884</v>
      </c>
      <c r="R29" s="61"/>
      <c r="S29" s="78">
        <f>INDEX(Results!T:T,MATCH(P29,Results!V:V,0))</f>
        <v>2.7100000000000009</v>
      </c>
      <c r="T29" s="58"/>
      <c r="U29" s="63"/>
      <c r="V29" s="68" t="s">
        <v>536</v>
      </c>
      <c r="W29" s="72">
        <v>-4.7</v>
      </c>
      <c r="X29" s="64"/>
      <c r="Y29" s="78">
        <f>INDEX(Results!T:T,MATCH(V29,Results!V:V,0))</f>
        <v>-0.875</v>
      </c>
      <c r="Z29" s="58"/>
      <c r="AA29" s="67"/>
      <c r="AB29" s="62"/>
      <c r="AC29" s="72"/>
      <c r="AD29" s="61"/>
      <c r="AE29" s="80"/>
      <c r="AF29" s="76"/>
      <c r="AG29" s="76"/>
      <c r="AH29" s="76"/>
      <c r="AI29" s="76"/>
      <c r="AJ29" s="76"/>
      <c r="AK29" s="76"/>
      <c r="AL29" s="76"/>
      <c r="AM29" s="76"/>
      <c r="AN29" s="76"/>
      <c r="AO29" s="76"/>
      <c r="AP29" s="76"/>
      <c r="AQ29" s="76"/>
      <c r="AR29" s="76"/>
      <c r="AS29" s="76"/>
      <c r="AT29" s="76"/>
      <c r="AU29" s="76"/>
      <c r="AV29" s="76"/>
      <c r="AW29" s="76"/>
      <c r="AX29" s="76"/>
      <c r="AY29" s="76"/>
      <c r="AZ29" s="76"/>
      <c r="BA29" s="76"/>
      <c r="BB29" s="76"/>
      <c r="BC29" s="76"/>
      <c r="BD29" s="76"/>
      <c r="BE29" s="76"/>
      <c r="BF29" s="76"/>
    </row>
    <row r="30" spans="1:58">
      <c r="A30" s="76"/>
      <c r="B30" s="76"/>
      <c r="C30" s="77"/>
      <c r="D30" s="77"/>
      <c r="E30" s="76"/>
      <c r="F30" s="65">
        <v>29</v>
      </c>
      <c r="G30" s="66" t="s">
        <v>534</v>
      </c>
      <c r="H30" s="58"/>
      <c r="I30" s="84">
        <v>15</v>
      </c>
      <c r="J30" s="71"/>
      <c r="K30" s="72"/>
      <c r="L30" s="73" t="str">
        <f>IF(K30="","",IF(K30=K31,"R",""))</f>
        <v/>
      </c>
      <c r="M30" s="75" t="e">
        <f>INDEX(Results!T:T,MATCH(J30,Results!V:V,0))</f>
        <v>#N/A</v>
      </c>
      <c r="N30" s="642">
        <v>27</v>
      </c>
      <c r="O30" s="84">
        <v>15</v>
      </c>
      <c r="P30" s="574" t="s">
        <v>534</v>
      </c>
      <c r="Q30" s="72">
        <v>-1.6068376068376065</v>
      </c>
      <c r="R30" s="81" t="str">
        <f>IF(Q30="","",IF(Q30=Q31,"R",""))</f>
        <v/>
      </c>
      <c r="S30" s="78">
        <f>INDEX(Results!T:T,MATCH(P30,Results!V:V,0))</f>
        <v>-4.8</v>
      </c>
      <c r="T30" s="58"/>
      <c r="U30" s="60">
        <v>15</v>
      </c>
      <c r="V30" s="68" t="s">
        <v>349</v>
      </c>
      <c r="W30" s="72">
        <v>-2.2857142857142865</v>
      </c>
      <c r="X30" s="81" t="str">
        <f>IF(W30="","",IF(W30=W31,"R",""))</f>
        <v/>
      </c>
      <c r="Y30" s="78">
        <f>INDEX(Results!T:T,MATCH(V30,Results!V:V,0))</f>
        <v>-2.0909090909090899</v>
      </c>
      <c r="Z30" s="58"/>
      <c r="AA30" s="76"/>
      <c r="AB30" s="76"/>
      <c r="AC30" s="76"/>
      <c r="AD30" s="76"/>
      <c r="AE30" s="80"/>
      <c r="AF30" s="76"/>
      <c r="AG30" s="76"/>
      <c r="AH30" s="76"/>
      <c r="AI30" s="76"/>
      <c r="AJ30" s="76"/>
      <c r="AK30" s="76"/>
      <c r="AL30" s="76"/>
      <c r="AM30" s="76"/>
      <c r="AN30" s="76"/>
      <c r="AO30" s="76"/>
      <c r="AP30" s="76"/>
      <c r="AQ30" s="76"/>
      <c r="AR30" s="76"/>
      <c r="AS30" s="76"/>
      <c r="AT30" s="76"/>
      <c r="AU30" s="76"/>
      <c r="AV30" s="76"/>
      <c r="AW30" s="76"/>
      <c r="AX30" s="76"/>
      <c r="AY30" s="76"/>
      <c r="AZ30" s="76"/>
      <c r="BA30" s="76"/>
      <c r="BB30" s="76"/>
      <c r="BC30" s="76"/>
      <c r="BD30" s="76"/>
      <c r="BE30" s="76"/>
      <c r="BF30" s="76"/>
    </row>
    <row r="31" spans="1:58">
      <c r="A31" s="76"/>
      <c r="B31" s="76"/>
      <c r="C31" s="77"/>
      <c r="D31" s="77"/>
      <c r="E31" s="76"/>
      <c r="F31" s="65">
        <v>30</v>
      </c>
      <c r="G31" s="66" t="s">
        <v>541</v>
      </c>
      <c r="H31" s="58"/>
      <c r="I31" s="83"/>
      <c r="J31" s="71"/>
      <c r="K31" s="72"/>
      <c r="L31" s="74"/>
      <c r="M31" s="75" t="e">
        <f>INDEX(Results!T:T,MATCH(J31,Results!V:V,0))</f>
        <v>#N/A</v>
      </c>
      <c r="N31" s="642"/>
      <c r="O31" s="83"/>
      <c r="P31" s="574" t="s">
        <v>541</v>
      </c>
      <c r="Q31" s="72">
        <v>2</v>
      </c>
      <c r="R31" s="61"/>
      <c r="S31" s="78">
        <f>INDEX(Results!T:T,MATCH(P31,Results!V:V,0))</f>
        <v>-7</v>
      </c>
      <c r="T31" s="58"/>
      <c r="U31" s="63"/>
      <c r="V31" s="68" t="s">
        <v>282</v>
      </c>
      <c r="W31" s="72">
        <v>-3.6</v>
      </c>
      <c r="X31" s="64"/>
      <c r="Y31" s="78">
        <f>INDEX(Results!T:T,MATCH(V31,Results!V:V,0))</f>
        <v>9.16</v>
      </c>
      <c r="Z31" s="58"/>
      <c r="AA31" s="76"/>
      <c r="AB31" s="76"/>
      <c r="AC31" s="76"/>
      <c r="AD31" s="76"/>
      <c r="AE31" s="80"/>
      <c r="AF31" s="76"/>
      <c r="AG31" s="76"/>
      <c r="AH31" s="76"/>
      <c r="AI31" s="76"/>
      <c r="AJ31" s="76"/>
      <c r="AK31" s="76"/>
      <c r="AL31" s="76"/>
      <c r="AM31" s="76"/>
      <c r="AN31" s="76"/>
      <c r="AO31" s="76"/>
      <c r="AP31" s="76"/>
      <c r="AQ31" s="76"/>
      <c r="AR31" s="76"/>
      <c r="AS31" s="76"/>
      <c r="AT31" s="76"/>
      <c r="AU31" s="76"/>
      <c r="AV31" s="76"/>
      <c r="AW31" s="76"/>
      <c r="AX31" s="76"/>
      <c r="AY31" s="76"/>
      <c r="AZ31" s="76"/>
      <c r="BA31" s="76"/>
      <c r="BB31" s="76"/>
      <c r="BC31" s="76"/>
      <c r="BD31" s="76"/>
      <c r="BE31" s="76"/>
      <c r="BF31" s="76"/>
    </row>
    <row r="32" spans="1:58">
      <c r="A32" s="699"/>
      <c r="B32" s="76"/>
      <c r="C32" s="77"/>
      <c r="D32" s="77"/>
      <c r="E32" s="76"/>
      <c r="F32" s="65">
        <v>31</v>
      </c>
      <c r="G32" s="66" t="s">
        <v>268</v>
      </c>
      <c r="H32" s="58"/>
      <c r="I32" s="84">
        <v>16</v>
      </c>
      <c r="J32" s="71"/>
      <c r="K32" s="72"/>
      <c r="L32" s="73" t="str">
        <f>IF(K32="","",IF(K32=K33,"R",""))</f>
        <v/>
      </c>
      <c r="M32" s="75" t="e">
        <f>INDEX(Results!T:T,MATCH(J32,Results!V:V,0))</f>
        <v>#N/A</v>
      </c>
      <c r="N32" s="642">
        <v>28</v>
      </c>
      <c r="O32" s="84">
        <v>16</v>
      </c>
      <c r="P32" s="574" t="s">
        <v>268</v>
      </c>
      <c r="Q32" s="72">
        <v>-5.0909090909090908</v>
      </c>
      <c r="R32" s="81" t="str">
        <f>IF(Q32="","",IF(Q32=Q33,"R",""))</f>
        <v/>
      </c>
      <c r="S32" s="78">
        <f>INDEX(Results!T:T,MATCH(P32,Results!V:V,0))</f>
        <v>-5.6363636363636367</v>
      </c>
      <c r="T32" s="58"/>
      <c r="U32" s="60">
        <v>16</v>
      </c>
      <c r="V32" s="68" t="s">
        <v>275</v>
      </c>
      <c r="W32" s="72">
        <v>-2.5999999999999996</v>
      </c>
      <c r="X32" s="81" t="str">
        <f>IF(W32="","",IF(W32=W33,"R",""))</f>
        <v/>
      </c>
      <c r="Y32" s="78">
        <f>INDEX(Results!T:T,MATCH(V32,Results!V:V,0))</f>
        <v>-5.2727272727272725</v>
      </c>
      <c r="Z32" s="58"/>
      <c r="AA32" s="76"/>
      <c r="AB32" s="76"/>
      <c r="AC32" s="76"/>
      <c r="AD32" s="76"/>
      <c r="AE32" s="80"/>
      <c r="AF32" s="76"/>
      <c r="AG32" s="76"/>
      <c r="AH32" s="76"/>
      <c r="AI32" s="76"/>
      <c r="AJ32" s="76"/>
      <c r="AK32" s="76"/>
      <c r="AL32" s="76"/>
      <c r="AM32" s="76"/>
      <c r="AN32" s="76"/>
      <c r="AO32" s="76"/>
      <c r="AP32" s="76"/>
      <c r="AQ32" s="76"/>
      <c r="AR32" s="76"/>
      <c r="AS32" s="76"/>
      <c r="AT32" s="76"/>
      <c r="AU32" s="76"/>
      <c r="AV32" s="76"/>
      <c r="AW32" s="76"/>
      <c r="AX32" s="76"/>
      <c r="AY32" s="76"/>
      <c r="AZ32" s="76"/>
      <c r="BA32" s="76"/>
      <c r="BB32" s="76"/>
      <c r="BC32" s="76"/>
      <c r="BD32" s="76"/>
      <c r="BE32" s="76"/>
      <c r="BF32" s="76"/>
    </row>
    <row r="33" spans="1:58">
      <c r="A33" s="76"/>
      <c r="B33" s="76"/>
      <c r="C33" s="77"/>
      <c r="D33" s="77"/>
      <c r="E33" s="76"/>
      <c r="F33" s="65">
        <v>32</v>
      </c>
      <c r="G33" s="66" t="s">
        <v>285</v>
      </c>
      <c r="H33" s="58"/>
      <c r="I33" s="83"/>
      <c r="J33" s="71"/>
      <c r="K33" s="72"/>
      <c r="L33" s="74"/>
      <c r="M33" s="75" t="e">
        <f>INDEX(Results!T:T,MATCH(J33,Results!V:V,0))</f>
        <v>#N/A</v>
      </c>
      <c r="N33" s="642"/>
      <c r="O33" s="83"/>
      <c r="P33" s="574" t="s">
        <v>285</v>
      </c>
      <c r="Q33" s="72">
        <v>2</v>
      </c>
      <c r="R33" s="61"/>
      <c r="S33" s="78">
        <f>INDEX(Results!T:T,MATCH(P33,Results!V:V,0))</f>
        <v>-2.375</v>
      </c>
      <c r="T33" s="58"/>
      <c r="U33" s="67"/>
      <c r="V33" s="68" t="s">
        <v>298</v>
      </c>
      <c r="W33" s="72">
        <v>-10</v>
      </c>
      <c r="X33" s="61"/>
      <c r="Y33" s="78">
        <f>INDEX(Results!T:T,MATCH(V33,Results!V:V,0))</f>
        <v>9.6000000000000014</v>
      </c>
      <c r="Z33" s="58"/>
      <c r="AA33" s="76"/>
      <c r="AB33" s="76"/>
      <c r="AC33" s="76"/>
      <c r="AD33" s="76"/>
      <c r="AE33" s="80"/>
      <c r="AF33" s="76"/>
      <c r="AG33" s="76"/>
      <c r="AH33" s="76"/>
      <c r="AI33" s="76"/>
      <c r="AJ33" s="76"/>
      <c r="AK33" s="76"/>
      <c r="AL33" s="76"/>
      <c r="AM33" s="76"/>
      <c r="AN33" s="76"/>
      <c r="AO33" s="76"/>
      <c r="AP33" s="76"/>
      <c r="AQ33" s="76"/>
      <c r="AR33" s="76"/>
      <c r="AS33" s="76"/>
      <c r="AT33" s="76"/>
      <c r="AU33" s="76"/>
      <c r="AV33" s="76"/>
      <c r="AW33" s="76"/>
      <c r="AX33" s="76"/>
      <c r="AY33" s="76"/>
      <c r="AZ33" s="76"/>
      <c r="BA33" s="76"/>
      <c r="BB33" s="76"/>
      <c r="BC33" s="76"/>
      <c r="BD33" s="76"/>
      <c r="BE33" s="76"/>
      <c r="BF33" s="76"/>
    </row>
    <row r="34" spans="1:58">
      <c r="A34" s="76"/>
      <c r="B34" s="76"/>
      <c r="C34" s="77"/>
      <c r="D34" s="77"/>
      <c r="E34" s="76"/>
      <c r="F34" s="65">
        <v>33</v>
      </c>
      <c r="G34" s="66" t="s">
        <v>294</v>
      </c>
      <c r="H34" s="58"/>
      <c r="I34" s="84">
        <v>17</v>
      </c>
      <c r="J34" s="71"/>
      <c r="K34" s="72"/>
      <c r="L34" s="73" t="str">
        <f>IF(K34="","",IF(K34=K35,"R",""))</f>
        <v/>
      </c>
      <c r="M34" s="75" t="e">
        <f>INDEX(Results!T:T,MATCH(J34,Results!V:V,0))</f>
        <v>#N/A</v>
      </c>
      <c r="N34" s="642">
        <v>29</v>
      </c>
      <c r="O34" s="84">
        <v>17</v>
      </c>
      <c r="P34" s="574" t="s">
        <v>294</v>
      </c>
      <c r="Q34" s="72">
        <v>1.8909090909090907</v>
      </c>
      <c r="R34" s="81" t="str">
        <f>IF(Q34="","",IF(Q34=Q35,"R",""))</f>
        <v/>
      </c>
      <c r="S34" s="78">
        <f>INDEX(Results!T:T,MATCH(P34,Results!V:V,0))</f>
        <v>-4.8</v>
      </c>
      <c r="T34" s="58"/>
      <c r="U34" s="58"/>
      <c r="V34" s="58"/>
      <c r="W34" s="58"/>
      <c r="X34" s="58"/>
      <c r="Y34" s="79"/>
      <c r="Z34" s="58"/>
      <c r="AA34" s="76"/>
      <c r="AB34" s="76"/>
      <c r="AC34" s="76"/>
      <c r="AD34" s="76"/>
      <c r="AE34" s="80"/>
      <c r="AF34" s="76"/>
      <c r="AG34" s="76"/>
      <c r="AH34" s="76"/>
      <c r="AI34" s="76"/>
      <c r="AJ34" s="76"/>
      <c r="AK34" s="76"/>
      <c r="AL34" s="76"/>
      <c r="AM34" s="76"/>
      <c r="AN34" s="76"/>
      <c r="AO34" s="76"/>
      <c r="AP34" s="76"/>
      <c r="AQ34" s="76"/>
      <c r="AR34" s="76"/>
      <c r="AS34" s="76"/>
      <c r="AT34" s="76"/>
      <c r="AU34" s="76"/>
      <c r="AV34" s="76"/>
      <c r="AW34" s="76"/>
      <c r="AX34" s="76"/>
      <c r="AY34" s="76"/>
      <c r="AZ34" s="76"/>
      <c r="BA34" s="76"/>
      <c r="BB34" s="76"/>
      <c r="BC34" s="76"/>
      <c r="BD34" s="76"/>
      <c r="BE34" s="76"/>
      <c r="BF34" s="76"/>
    </row>
    <row r="35" spans="1:58">
      <c r="A35" s="76"/>
      <c r="B35" s="76"/>
      <c r="C35" s="77"/>
      <c r="D35" s="77"/>
      <c r="E35" s="76"/>
      <c r="F35" s="65">
        <v>34</v>
      </c>
      <c r="G35" s="66" t="s">
        <v>348</v>
      </c>
      <c r="H35" s="58"/>
      <c r="I35" s="83"/>
      <c r="J35" s="71"/>
      <c r="K35" s="72"/>
      <c r="L35" s="74"/>
      <c r="M35" s="75" t="e">
        <f>INDEX(Results!T:T,MATCH(J35,Results!V:V,0))</f>
        <v>#N/A</v>
      </c>
      <c r="N35" s="642"/>
      <c r="O35" s="83"/>
      <c r="P35" s="574" t="s">
        <v>348</v>
      </c>
      <c r="Q35" s="72">
        <v>-4.8</v>
      </c>
      <c r="R35" s="61"/>
      <c r="S35" s="78">
        <f>INDEX(Results!T:T,MATCH(P35,Results!V:V,0))</f>
        <v>9.6000000000000014</v>
      </c>
      <c r="T35" s="58"/>
      <c r="U35" s="58"/>
      <c r="V35" s="58"/>
      <c r="W35" s="58"/>
      <c r="X35" s="58"/>
      <c r="Y35" s="79"/>
      <c r="Z35" s="58"/>
      <c r="AA35" s="76"/>
      <c r="AB35" s="76"/>
      <c r="AC35" s="76"/>
      <c r="AD35" s="76"/>
      <c r="AE35" s="80"/>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row>
    <row r="36" spans="1:58">
      <c r="A36" s="76"/>
      <c r="B36" s="76"/>
      <c r="C36" s="77"/>
      <c r="D36" s="77"/>
      <c r="E36" s="76"/>
      <c r="F36" s="65">
        <v>35</v>
      </c>
      <c r="G36" s="66" t="s">
        <v>276</v>
      </c>
      <c r="H36" s="58"/>
      <c r="I36" s="84">
        <v>18</v>
      </c>
      <c r="J36" s="71"/>
      <c r="K36" s="72"/>
      <c r="L36" s="73" t="str">
        <f>IF(K36="","",IF(K36=K37,"R",""))</f>
        <v/>
      </c>
      <c r="M36" s="75" t="e">
        <f>INDEX(Results!T:T,MATCH(J36,Results!V:V,0))</f>
        <v>#N/A</v>
      </c>
      <c r="N36" s="642">
        <v>30</v>
      </c>
      <c r="O36" s="84">
        <v>18</v>
      </c>
      <c r="P36" s="574" t="s">
        <v>276</v>
      </c>
      <c r="Q36" s="72">
        <v>0</v>
      </c>
      <c r="R36" s="81" t="str">
        <f>IF(Q36="","",IF(Q36=Q37,"R",""))</f>
        <v/>
      </c>
      <c r="S36" s="78">
        <f>INDEX(Results!T:T,MATCH(P36,Results!V:V,0))</f>
        <v>-7</v>
      </c>
      <c r="T36" s="58"/>
      <c r="U36" s="58"/>
      <c r="V36" s="58"/>
      <c r="W36" s="58"/>
      <c r="X36" s="58"/>
      <c r="Y36" s="79"/>
      <c r="Z36" s="58"/>
      <c r="AA36" s="76"/>
      <c r="AB36" s="76"/>
      <c r="AC36" s="76"/>
      <c r="AD36" s="76"/>
      <c r="AE36" s="80"/>
      <c r="AF36" s="76"/>
      <c r="AG36" s="76"/>
      <c r="AH36" s="76"/>
      <c r="AI36" s="76"/>
      <c r="AJ36" s="76"/>
      <c r="AK36" s="76"/>
      <c r="AL36" s="76"/>
      <c r="AM36" s="76"/>
      <c r="AN36" s="76"/>
      <c r="AO36" s="76"/>
      <c r="AP36" s="76"/>
      <c r="AQ36" s="76"/>
      <c r="AR36" s="76"/>
      <c r="AS36" s="76"/>
      <c r="AT36" s="76"/>
      <c r="AU36" s="76"/>
      <c r="AV36" s="76"/>
      <c r="AW36" s="76"/>
      <c r="AX36" s="76"/>
      <c r="AY36" s="76"/>
      <c r="AZ36" s="76"/>
      <c r="BA36" s="76"/>
      <c r="BB36" s="76"/>
      <c r="BC36" s="76"/>
      <c r="BD36" s="76"/>
      <c r="BE36" s="76"/>
      <c r="BF36" s="76"/>
    </row>
    <row r="37" spans="1:58" ht="13.15">
      <c r="A37" s="76"/>
      <c r="B37" s="76"/>
      <c r="C37" s="77"/>
      <c r="D37" s="77"/>
      <c r="E37" s="76"/>
      <c r="F37" s="65">
        <v>36</v>
      </c>
      <c r="G37" s="66" t="s">
        <v>351</v>
      </c>
      <c r="H37" s="58"/>
      <c r="I37" s="83"/>
      <c r="J37" s="71"/>
      <c r="K37" s="72"/>
      <c r="L37" s="74"/>
      <c r="M37" s="75" t="e">
        <f>INDEX(Results!T:T,MATCH(J37,Results!V:V,0))</f>
        <v>#N/A</v>
      </c>
      <c r="N37" s="642"/>
      <c r="O37" s="83"/>
      <c r="P37" s="574" t="s">
        <v>351</v>
      </c>
      <c r="Q37" s="72">
        <v>-7</v>
      </c>
      <c r="R37" s="61"/>
      <c r="S37" s="78">
        <f>INDEX(Results!T:T,MATCH(P37,Results!V:V,0))</f>
        <v>6.35</v>
      </c>
      <c r="T37" s="58"/>
      <c r="U37" s="57" t="s">
        <v>484</v>
      </c>
      <c r="V37" s="602"/>
      <c r="W37" s="103"/>
      <c r="X37" s="103"/>
      <c r="Y37" s="79"/>
      <c r="Z37" s="58"/>
      <c r="AA37" s="76"/>
      <c r="AB37" s="76"/>
      <c r="AC37" s="76"/>
      <c r="AD37" s="76"/>
      <c r="AE37" s="80"/>
      <c r="AF37" s="76"/>
      <c r="AG37" s="76"/>
      <c r="AH37" s="76"/>
      <c r="AI37" s="76"/>
      <c r="AJ37" s="76"/>
      <c r="AK37" s="76"/>
      <c r="AL37" s="76"/>
      <c r="AM37" s="76"/>
      <c r="AN37" s="76"/>
      <c r="AO37" s="76"/>
      <c r="AP37" s="76"/>
      <c r="AQ37" s="76"/>
      <c r="AR37" s="76"/>
      <c r="AS37" s="76"/>
      <c r="AT37" s="76"/>
      <c r="AU37" s="76"/>
      <c r="AV37" s="76"/>
      <c r="AW37" s="76"/>
      <c r="AX37" s="76"/>
      <c r="AY37" s="76"/>
      <c r="AZ37" s="76"/>
      <c r="BA37" s="76"/>
      <c r="BB37" s="76"/>
      <c r="BC37" s="76"/>
      <c r="BD37" s="76"/>
      <c r="BE37" s="76"/>
      <c r="BF37" s="76"/>
    </row>
    <row r="38" spans="1:58">
      <c r="A38" s="76"/>
      <c r="B38" s="76"/>
      <c r="C38" s="77"/>
      <c r="D38" s="77"/>
      <c r="E38" s="76"/>
      <c r="F38" s="65">
        <v>37</v>
      </c>
      <c r="G38" s="66" t="s">
        <v>271</v>
      </c>
      <c r="H38" s="58"/>
      <c r="I38" s="84">
        <v>19</v>
      </c>
      <c r="J38" s="71"/>
      <c r="K38" s="72"/>
      <c r="L38" s="73" t="str">
        <f>IF(K38="","",IF(K38=K39,"R",""))</f>
        <v/>
      </c>
      <c r="M38" s="75" t="e">
        <f>INDEX(Results!T:T,MATCH(J38,Results!V:V,0))</f>
        <v>#N/A</v>
      </c>
      <c r="N38" s="642">
        <v>31</v>
      </c>
      <c r="O38" s="84">
        <v>19</v>
      </c>
      <c r="P38" s="574"/>
      <c r="Q38" s="72"/>
      <c r="R38" s="81" t="str">
        <f>IF(Q38="","",IF(Q38=Q39,"R",""))</f>
        <v/>
      </c>
      <c r="S38" s="78" t="e">
        <f>INDEX(Results!T:T,MATCH(P38,Results!V:V,0))</f>
        <v>#N/A</v>
      </c>
      <c r="T38" s="58"/>
      <c r="U38" s="60"/>
      <c r="V38" s="68"/>
      <c r="W38" s="72"/>
      <c r="X38" s="81" t="str">
        <f>IF(W38="","",IF(W38=W39,"R",""))</f>
        <v/>
      </c>
      <c r="Y38" s="78" t="e">
        <f>INDEX(Results!T:T,MATCH(V38,Results!V:V,0))</f>
        <v>#N/A</v>
      </c>
      <c r="Z38" s="58"/>
      <c r="AF38" s="76"/>
      <c r="AG38" s="76"/>
      <c r="AH38" s="76"/>
      <c r="AI38" s="76"/>
      <c r="AJ38" s="76"/>
      <c r="AK38" s="76"/>
      <c r="AL38" s="76"/>
      <c r="AM38" s="76"/>
      <c r="AN38" s="76"/>
      <c r="AO38" s="76"/>
      <c r="AP38" s="76"/>
      <c r="AQ38" s="76"/>
      <c r="AR38" s="76"/>
      <c r="AS38" s="76"/>
      <c r="AT38" s="76"/>
      <c r="AU38" s="76"/>
      <c r="AV38" s="76"/>
      <c r="AW38" s="76"/>
      <c r="AX38" s="76"/>
      <c r="AY38" s="76"/>
      <c r="AZ38" s="76"/>
      <c r="BA38" s="76"/>
      <c r="BB38" s="76"/>
      <c r="BC38" s="76"/>
      <c r="BD38" s="76"/>
      <c r="BE38" s="76"/>
      <c r="BF38" s="76"/>
    </row>
    <row r="39" spans="1:58">
      <c r="A39" s="76"/>
      <c r="B39" s="76"/>
      <c r="C39" s="77"/>
      <c r="D39" s="77"/>
      <c r="E39" s="76"/>
      <c r="F39" s="65">
        <v>38</v>
      </c>
      <c r="G39" s="66" t="s">
        <v>350</v>
      </c>
      <c r="H39" s="58"/>
      <c r="I39" s="83"/>
      <c r="J39" s="71"/>
      <c r="K39" s="72"/>
      <c r="L39" s="74"/>
      <c r="M39" s="75" t="e">
        <f>INDEX(Results!T:T,MATCH(J39,Results!V:V,0))</f>
        <v>#N/A</v>
      </c>
      <c r="N39" s="642"/>
      <c r="O39" s="83"/>
      <c r="P39" s="574"/>
      <c r="Q39" s="72"/>
      <c r="R39" s="61"/>
      <c r="S39" s="78" t="e">
        <f>INDEX(Results!T:T,MATCH(P39,Results!V:V,0))</f>
        <v>#N/A</v>
      </c>
      <c r="T39" s="58"/>
      <c r="U39" s="63"/>
      <c r="V39" s="68"/>
      <c r="W39" s="72"/>
      <c r="X39" s="64"/>
      <c r="Y39" s="78" t="e">
        <f>INDEX(Results!T:T,MATCH(V39,Results!V:V,0))</f>
        <v>#N/A</v>
      </c>
      <c r="Z39" s="58"/>
      <c r="AF39" s="76"/>
      <c r="AG39" s="76"/>
      <c r="AH39" s="76"/>
      <c r="AI39" s="76"/>
      <c r="AJ39" s="76"/>
      <c r="AK39" s="76"/>
      <c r="AL39" s="76"/>
      <c r="AM39" s="76"/>
      <c r="AN39" s="76"/>
      <c r="AO39" s="76"/>
      <c r="AP39" s="76"/>
      <c r="AQ39" s="76"/>
      <c r="AR39" s="76"/>
      <c r="AS39" s="76"/>
      <c r="AT39" s="76"/>
      <c r="AU39" s="76"/>
      <c r="AV39" s="76"/>
      <c r="AW39" s="76"/>
      <c r="AX39" s="76"/>
      <c r="AY39" s="76"/>
      <c r="AZ39" s="76"/>
      <c r="BA39" s="76"/>
      <c r="BB39" s="76"/>
      <c r="BC39" s="76"/>
      <c r="BD39" s="76"/>
      <c r="BE39" s="76"/>
      <c r="BF39" s="76"/>
    </row>
    <row r="40" spans="1:58">
      <c r="A40" s="76"/>
      <c r="B40" s="76"/>
      <c r="C40" s="77"/>
      <c r="D40" s="77"/>
      <c r="E40" s="76"/>
      <c r="F40" s="65">
        <v>39</v>
      </c>
      <c r="G40" s="66" t="s">
        <v>518</v>
      </c>
      <c r="H40" s="58"/>
      <c r="I40" s="84">
        <v>20</v>
      </c>
      <c r="J40" s="71"/>
      <c r="K40" s="72"/>
      <c r="L40" s="73" t="str">
        <f>IF(K40="","",IF(K40=K41,"R",""))</f>
        <v/>
      </c>
      <c r="M40" s="75" t="e">
        <f>INDEX(Results!T:T,MATCH(J40,Results!V:V,0))</f>
        <v>#N/A</v>
      </c>
      <c r="N40" s="642">
        <v>32</v>
      </c>
      <c r="O40" s="84">
        <v>20</v>
      </c>
      <c r="P40" s="574"/>
      <c r="Q40" s="72"/>
      <c r="R40" s="81" t="str">
        <f>IF(Q40="","",IF(Q40=Q41,"R",""))</f>
        <v/>
      </c>
      <c r="S40" s="78" t="e">
        <f>INDEX(Results!T:T,MATCH(P40,Results!V:V,0))</f>
        <v>#N/A</v>
      </c>
      <c r="T40" s="58"/>
      <c r="U40" s="60"/>
      <c r="V40" s="62"/>
      <c r="W40" s="72"/>
      <c r="X40" s="81" t="str">
        <f>IF(W40="","",IF(W40=W41,"R",""))</f>
        <v/>
      </c>
      <c r="Y40" s="78" t="e">
        <f>INDEX(Results!T:T,MATCH(V40,Results!V:V,0))</f>
        <v>#N/A</v>
      </c>
      <c r="Z40" s="58"/>
      <c r="AF40" s="76"/>
      <c r="AG40" s="76"/>
      <c r="AH40" s="76"/>
      <c r="AI40" s="76"/>
      <c r="AJ40" s="76"/>
      <c r="AK40" s="76"/>
      <c r="AL40" s="76"/>
      <c r="AM40" s="76"/>
      <c r="AN40" s="76"/>
      <c r="AO40" s="76"/>
      <c r="AP40" s="76"/>
      <c r="AQ40" s="76"/>
      <c r="AR40" s="76"/>
      <c r="AS40" s="76"/>
      <c r="AT40" s="76"/>
      <c r="AU40" s="76"/>
      <c r="AV40" s="76"/>
      <c r="AW40" s="76"/>
      <c r="AX40" s="76"/>
      <c r="AY40" s="76"/>
      <c r="AZ40" s="76"/>
      <c r="BA40" s="76"/>
      <c r="BB40" s="76"/>
      <c r="BC40" s="76"/>
      <c r="BD40" s="76"/>
      <c r="BE40" s="76"/>
      <c r="BF40" s="76"/>
    </row>
    <row r="41" spans="1:58">
      <c r="A41" s="76"/>
      <c r="B41" s="76"/>
      <c r="C41" s="77"/>
      <c r="D41" s="77"/>
      <c r="E41" s="76"/>
      <c r="F41" s="65">
        <v>40</v>
      </c>
      <c r="G41" s="66" t="s">
        <v>289</v>
      </c>
      <c r="H41" s="58"/>
      <c r="I41" s="83"/>
      <c r="J41" s="71"/>
      <c r="K41" s="72"/>
      <c r="L41" s="74"/>
      <c r="M41" s="75" t="e">
        <f>INDEX(Results!T:T,MATCH(J41,Results!V:V,0))</f>
        <v>#N/A</v>
      </c>
      <c r="N41" s="642"/>
      <c r="O41" s="83"/>
      <c r="P41" s="574"/>
      <c r="Q41" s="72"/>
      <c r="R41" s="61"/>
      <c r="S41" s="78" t="e">
        <f>INDEX(Results!T:T,MATCH(P41,Results!V:V,0))</f>
        <v>#N/A</v>
      </c>
      <c r="T41" s="58"/>
      <c r="U41" s="63"/>
      <c r="V41" s="62"/>
      <c r="W41" s="72"/>
      <c r="X41" s="64"/>
      <c r="Y41" s="78" t="e">
        <f>INDEX(Results!T:T,MATCH(V41,Results!V:V,0))</f>
        <v>#N/A</v>
      </c>
      <c r="Z41" s="58"/>
      <c r="AF41" s="76"/>
      <c r="AG41" s="76"/>
      <c r="AH41" s="76"/>
      <c r="AI41" s="76"/>
      <c r="AJ41" s="76"/>
      <c r="AK41" s="76"/>
      <c r="AL41" s="76"/>
      <c r="AM41" s="76"/>
      <c r="AN41" s="76"/>
      <c r="AO41" s="76"/>
      <c r="AP41" s="76"/>
      <c r="AQ41" s="76"/>
      <c r="AR41" s="76"/>
      <c r="AS41" s="76"/>
      <c r="AT41" s="76"/>
      <c r="AU41" s="76"/>
      <c r="AV41" s="76"/>
      <c r="AW41" s="76"/>
      <c r="AX41" s="76"/>
      <c r="AY41" s="76"/>
      <c r="AZ41" s="76"/>
      <c r="BA41" s="76"/>
      <c r="BB41" s="76"/>
      <c r="BC41" s="76"/>
      <c r="BD41" s="76"/>
      <c r="BE41" s="76"/>
      <c r="BF41" s="76"/>
    </row>
    <row r="42" spans="1:58">
      <c r="A42" s="76"/>
      <c r="B42" s="76"/>
      <c r="C42" s="77"/>
      <c r="D42" s="77"/>
      <c r="E42" s="76"/>
      <c r="F42" s="65">
        <v>41</v>
      </c>
      <c r="G42" s="66" t="s">
        <v>480</v>
      </c>
      <c r="H42" s="58"/>
      <c r="I42" s="84">
        <v>21</v>
      </c>
      <c r="J42" s="71"/>
      <c r="K42" s="72"/>
      <c r="L42" s="73" t="str">
        <f>IF(K42="","",IF(K42=K43,"R",""))</f>
        <v/>
      </c>
      <c r="M42" s="75" t="e">
        <f>INDEX(Results!T:T,MATCH(J42,Results!V:V,0))</f>
        <v>#N/A</v>
      </c>
      <c r="N42" s="642">
        <v>33</v>
      </c>
      <c r="O42" s="84">
        <v>21</v>
      </c>
      <c r="P42" s="574"/>
      <c r="Q42" s="72"/>
      <c r="R42" s="81" t="str">
        <f>IF(Q42="","",IF(Q42=Q43,"R",""))</f>
        <v/>
      </c>
      <c r="S42" s="78" t="e">
        <f>INDEX(Results!T:T,MATCH(P42,Results!V:V,0))</f>
        <v>#N/A</v>
      </c>
      <c r="T42" s="58"/>
      <c r="U42" s="60"/>
      <c r="V42" s="62"/>
      <c r="W42" s="72"/>
      <c r="X42" s="81" t="str">
        <f>IF(W42="","",IF(W42=W43,"R",""))</f>
        <v/>
      </c>
      <c r="Y42" s="78" t="e">
        <f>INDEX(Results!T:T,MATCH(V42,Results!V:V,0))</f>
        <v>#N/A</v>
      </c>
      <c r="Z42" s="58"/>
      <c r="AF42" s="76"/>
      <c r="AG42" s="76"/>
      <c r="AH42" s="76"/>
      <c r="AI42" s="76"/>
      <c r="AJ42" s="76"/>
      <c r="AK42" s="76"/>
      <c r="AL42" s="76"/>
      <c r="AM42" s="76"/>
      <c r="AN42" s="76"/>
      <c r="AO42" s="76"/>
      <c r="AP42" s="76"/>
      <c r="AQ42" s="76"/>
      <c r="AR42" s="76"/>
      <c r="AS42" s="76"/>
      <c r="AT42" s="76"/>
      <c r="AU42" s="76"/>
      <c r="AV42" s="76"/>
      <c r="AW42" s="76"/>
      <c r="AX42" s="76"/>
      <c r="AY42" s="76"/>
      <c r="AZ42" s="76"/>
      <c r="BA42" s="76"/>
      <c r="BB42" s="76"/>
      <c r="BC42" s="76"/>
      <c r="BD42" s="76"/>
      <c r="BE42" s="76"/>
      <c r="BF42" s="76"/>
    </row>
    <row r="43" spans="1:58">
      <c r="A43" s="76"/>
      <c r="B43" s="76"/>
      <c r="C43" s="77"/>
      <c r="D43" s="77"/>
      <c r="E43" s="76"/>
      <c r="F43" s="65">
        <v>42</v>
      </c>
      <c r="G43" s="66" t="s">
        <v>535</v>
      </c>
      <c r="H43" s="58"/>
      <c r="I43" s="83"/>
      <c r="J43" s="71"/>
      <c r="K43" s="72"/>
      <c r="L43" s="74"/>
      <c r="M43" s="75" t="e">
        <f>INDEX(Results!T:T,MATCH(J43,Results!V:V,0))</f>
        <v>#N/A</v>
      </c>
      <c r="N43" s="642"/>
      <c r="O43" s="83"/>
      <c r="P43" s="574"/>
      <c r="Q43" s="72"/>
      <c r="R43" s="61"/>
      <c r="S43" s="78" t="e">
        <f>INDEX(Results!T:T,MATCH(P43,Results!V:V,0))</f>
        <v>#N/A</v>
      </c>
      <c r="T43" s="58"/>
      <c r="U43" s="63"/>
      <c r="V43" s="62"/>
      <c r="W43" s="72"/>
      <c r="X43" s="64"/>
      <c r="Y43" s="78" t="e">
        <f>INDEX(Results!T:T,MATCH(V43,Results!V:V,0))</f>
        <v>#N/A</v>
      </c>
      <c r="Z43" s="58"/>
      <c r="AF43" s="76"/>
      <c r="AG43" s="76"/>
      <c r="AH43" s="76"/>
      <c r="AI43" s="76"/>
      <c r="AJ43" s="76"/>
      <c r="AK43" s="76"/>
      <c r="AL43" s="76"/>
      <c r="AM43" s="76"/>
      <c r="AN43" s="76"/>
      <c r="AO43" s="76"/>
      <c r="AP43" s="76"/>
      <c r="AQ43" s="76"/>
      <c r="AR43" s="76"/>
      <c r="AS43" s="76"/>
      <c r="AT43" s="76"/>
      <c r="AU43" s="76"/>
      <c r="AV43" s="76"/>
      <c r="AW43" s="76"/>
      <c r="AX43" s="76"/>
      <c r="AY43" s="76"/>
      <c r="AZ43" s="76"/>
      <c r="BA43" s="76"/>
      <c r="BB43" s="76"/>
      <c r="BC43" s="76"/>
      <c r="BD43" s="76"/>
      <c r="BE43" s="76"/>
      <c r="BF43" s="76"/>
    </row>
    <row r="44" spans="1:58">
      <c r="A44" s="76"/>
      <c r="B44" s="76"/>
      <c r="C44" s="77"/>
      <c r="D44" s="77"/>
      <c r="E44" s="76"/>
      <c r="F44" s="65">
        <v>43</v>
      </c>
      <c r="G44" s="66" t="s">
        <v>414</v>
      </c>
      <c r="H44" s="58"/>
      <c r="I44" s="84">
        <v>22</v>
      </c>
      <c r="J44" s="71"/>
      <c r="K44" s="72"/>
      <c r="L44" s="73" t="str">
        <f t="shared" ref="L44:L72" si="0">IF(K44="","",IF(K44=K45,"R",""))</f>
        <v/>
      </c>
      <c r="M44" s="75" t="e">
        <f>INDEX(Results!T:T,MATCH(J44,Results!V:V,0))</f>
        <v>#N/A</v>
      </c>
      <c r="N44" s="642">
        <v>34</v>
      </c>
      <c r="O44" s="84">
        <v>22</v>
      </c>
      <c r="P44" s="574"/>
      <c r="Q44" s="72"/>
      <c r="R44" s="81" t="str">
        <f>IF(Q44="","",IF(Q44=Q45,"R",""))</f>
        <v/>
      </c>
      <c r="S44" s="78" t="e">
        <f>INDEX(Results!T:T,MATCH(P44,Results!V:V,0))</f>
        <v>#N/A</v>
      </c>
      <c r="T44" s="58"/>
      <c r="U44" s="60"/>
      <c r="V44" s="62"/>
      <c r="W44" s="72"/>
      <c r="X44" s="73" t="str">
        <f>IF(W44="","",IF(W44=W45,"R",""))</f>
        <v/>
      </c>
      <c r="Y44" s="78" t="e">
        <f>INDEX(Results!T:T,MATCH(V44,Results!V:V,0))</f>
        <v>#N/A</v>
      </c>
      <c r="Z44" s="58"/>
      <c r="AF44" s="76"/>
      <c r="AG44" s="76"/>
      <c r="AH44" s="76"/>
      <c r="AI44" s="76"/>
      <c r="AJ44" s="76"/>
      <c r="AK44" s="76"/>
      <c r="AL44" s="76"/>
      <c r="AM44" s="76"/>
      <c r="AN44" s="76"/>
      <c r="AO44" s="76"/>
      <c r="AP44" s="76"/>
      <c r="AQ44" s="76"/>
      <c r="AR44" s="76"/>
      <c r="AS44" s="76"/>
      <c r="AT44" s="76"/>
      <c r="AU44" s="76"/>
      <c r="AV44" s="76"/>
      <c r="AW44" s="76"/>
      <c r="AX44" s="76"/>
      <c r="AY44" s="76"/>
      <c r="AZ44" s="76"/>
      <c r="BA44" s="76"/>
      <c r="BB44" s="76"/>
      <c r="BC44" s="76"/>
      <c r="BD44" s="76"/>
      <c r="BE44" s="76"/>
      <c r="BF44" s="76"/>
    </row>
    <row r="45" spans="1:58">
      <c r="A45" s="76"/>
      <c r="B45" s="76"/>
      <c r="C45" s="77"/>
      <c r="D45" s="77"/>
      <c r="E45" s="76"/>
      <c r="F45" s="65">
        <v>44</v>
      </c>
      <c r="G45" s="66" t="s">
        <v>273</v>
      </c>
      <c r="H45" s="58"/>
      <c r="I45" s="83"/>
      <c r="J45" s="71"/>
      <c r="K45" s="72"/>
      <c r="L45" s="74"/>
      <c r="M45" s="75" t="e">
        <f>INDEX(Results!T:T,MATCH(J45,Results!V:V,0))</f>
        <v>#N/A</v>
      </c>
      <c r="N45" s="642"/>
      <c r="O45" s="83"/>
      <c r="P45" s="574"/>
      <c r="Q45" s="72"/>
      <c r="R45" s="61"/>
      <c r="S45" s="78" t="e">
        <f>INDEX(Results!T:T,MATCH(P45,Results!V:V,0))</f>
        <v>#N/A</v>
      </c>
      <c r="T45" s="58"/>
      <c r="U45" s="67"/>
      <c r="V45" s="62"/>
      <c r="W45" s="72"/>
      <c r="X45" s="61"/>
      <c r="Y45" s="78" t="e">
        <f>INDEX(Results!T:T,MATCH(V45,Results!V:V,0))</f>
        <v>#N/A</v>
      </c>
      <c r="Z45" s="58"/>
      <c r="AF45" s="76"/>
      <c r="AG45" s="76"/>
      <c r="AH45" s="76"/>
      <c r="AI45" s="76"/>
      <c r="AJ45" s="76"/>
      <c r="AK45" s="76"/>
      <c r="AL45" s="76"/>
      <c r="AM45" s="76"/>
      <c r="AN45" s="76"/>
      <c r="AO45" s="76"/>
      <c r="AP45" s="76"/>
      <c r="AQ45" s="76"/>
      <c r="AR45" s="76"/>
      <c r="AS45" s="76"/>
      <c r="AT45" s="76"/>
      <c r="AU45" s="76"/>
      <c r="AV45" s="76"/>
      <c r="AW45" s="76"/>
      <c r="AX45" s="76"/>
      <c r="AY45" s="76"/>
      <c r="AZ45" s="76"/>
      <c r="BA45" s="76"/>
      <c r="BB45" s="76"/>
      <c r="BC45" s="76"/>
      <c r="BD45" s="76"/>
      <c r="BE45" s="76"/>
      <c r="BF45" s="76"/>
    </row>
    <row r="46" spans="1:58">
      <c r="A46" s="76"/>
      <c r="B46" s="76"/>
      <c r="C46" s="77"/>
      <c r="D46" s="77"/>
      <c r="E46" s="76"/>
      <c r="F46" s="65">
        <v>45</v>
      </c>
      <c r="G46" s="66" t="s">
        <v>517</v>
      </c>
      <c r="H46" s="58"/>
      <c r="I46" s="84">
        <v>23</v>
      </c>
      <c r="J46" s="71"/>
      <c r="K46" s="72"/>
      <c r="L46" s="73" t="str">
        <f t="shared" si="0"/>
        <v/>
      </c>
      <c r="M46" s="75" t="e">
        <f>INDEX(Results!T:T,MATCH(J46,Results!V:V,0))</f>
        <v>#N/A</v>
      </c>
      <c r="N46" s="642">
        <v>35</v>
      </c>
      <c r="O46" s="84">
        <v>23</v>
      </c>
      <c r="P46" s="574"/>
      <c r="Q46" s="72"/>
      <c r="R46" s="81" t="str">
        <f>IF(Q46="","",IF(Q46=Q47,"R",""))</f>
        <v/>
      </c>
      <c r="S46" s="78" t="e">
        <f>INDEX(Results!T:T,MATCH(P46,Results!V:V,0))</f>
        <v>#N/A</v>
      </c>
      <c r="T46" s="58"/>
      <c r="U46" s="60"/>
      <c r="V46" s="70"/>
      <c r="W46" s="72"/>
      <c r="X46" s="81" t="str">
        <f>IF(W46="","",IF(W46=W47,"R",""))</f>
        <v/>
      </c>
      <c r="Y46" s="78" t="e">
        <f>INDEX(Results!T:T,MATCH(V46,Results!V:V,0))</f>
        <v>#N/A</v>
      </c>
      <c r="Z46" s="58"/>
      <c r="AF46" s="76"/>
      <c r="AG46" s="76"/>
      <c r="AH46" s="76"/>
      <c r="AI46" s="76"/>
      <c r="AJ46" s="76"/>
      <c r="AK46" s="76"/>
      <c r="AL46" s="76"/>
      <c r="AM46" s="76"/>
      <c r="AN46" s="76"/>
      <c r="AO46" s="76"/>
      <c r="AP46" s="76"/>
      <c r="AQ46" s="76"/>
      <c r="AR46" s="76"/>
      <c r="AS46" s="76"/>
      <c r="AT46" s="76"/>
      <c r="AU46" s="76"/>
      <c r="AV46" s="76"/>
      <c r="AW46" s="76"/>
      <c r="AX46" s="76"/>
      <c r="AY46" s="76"/>
      <c r="AZ46" s="76"/>
      <c r="BA46" s="76"/>
      <c r="BB46" s="76"/>
      <c r="BC46" s="76"/>
      <c r="BD46" s="76"/>
      <c r="BE46" s="76"/>
      <c r="BF46" s="76"/>
    </row>
    <row r="47" spans="1:58">
      <c r="A47" s="76"/>
      <c r="B47" s="76"/>
      <c r="C47" s="77"/>
      <c r="D47" s="77"/>
      <c r="E47" s="76"/>
      <c r="F47" s="65">
        <v>46</v>
      </c>
      <c r="G47" s="66" t="s">
        <v>536</v>
      </c>
      <c r="H47" s="58"/>
      <c r="I47" s="83"/>
      <c r="J47" s="71"/>
      <c r="K47" s="72"/>
      <c r="L47" s="74"/>
      <c r="M47" s="75" t="e">
        <f>INDEX(Results!T:T,MATCH(J47,Results!V:V,0))</f>
        <v>#N/A</v>
      </c>
      <c r="N47" s="642"/>
      <c r="O47" s="83"/>
      <c r="P47" s="574"/>
      <c r="Q47" s="72"/>
      <c r="R47" s="61"/>
      <c r="S47" s="78" t="e">
        <f>INDEX(Results!T:T,MATCH(P47,Results!V:V,0))</f>
        <v>#N/A</v>
      </c>
      <c r="T47" s="58"/>
      <c r="U47" s="63"/>
      <c r="V47" s="70"/>
      <c r="W47" s="72"/>
      <c r="X47" s="64"/>
      <c r="Y47" s="78" t="e">
        <f>INDEX(Results!T:T,MATCH(V47,Results!V:V,0))</f>
        <v>#N/A</v>
      </c>
      <c r="Z47" s="58"/>
      <c r="AF47" s="76"/>
      <c r="AG47" s="76"/>
      <c r="AH47" s="76"/>
      <c r="AI47" s="76"/>
      <c r="AJ47" s="76"/>
      <c r="AK47" s="76"/>
      <c r="AL47" s="76"/>
      <c r="AM47" s="76"/>
      <c r="AN47" s="76"/>
      <c r="AO47" s="76"/>
      <c r="AP47" s="76"/>
      <c r="AQ47" s="76"/>
      <c r="AR47" s="76"/>
      <c r="AS47" s="76"/>
      <c r="AT47" s="76"/>
      <c r="AU47" s="76"/>
      <c r="AV47" s="76"/>
      <c r="AW47" s="76"/>
      <c r="AX47" s="76"/>
      <c r="AY47" s="76"/>
      <c r="AZ47" s="76"/>
      <c r="BA47" s="76"/>
      <c r="BB47" s="76"/>
      <c r="BC47" s="76"/>
      <c r="BD47" s="76"/>
      <c r="BE47" s="76"/>
      <c r="BF47" s="76"/>
    </row>
    <row r="48" spans="1:58">
      <c r="A48" s="76"/>
      <c r="B48" s="76"/>
      <c r="C48" s="77"/>
      <c r="D48" s="77"/>
      <c r="E48" s="76"/>
      <c r="F48" s="65">
        <v>47</v>
      </c>
      <c r="G48" s="66" t="s">
        <v>349</v>
      </c>
      <c r="H48" s="58"/>
      <c r="I48" s="84">
        <v>24</v>
      </c>
      <c r="J48" s="71"/>
      <c r="K48" s="72"/>
      <c r="L48" s="73" t="str">
        <f t="shared" si="0"/>
        <v/>
      </c>
      <c r="M48" s="75" t="e">
        <f>INDEX(Results!T:T,MATCH(J48,Results!V:V,0))</f>
        <v>#N/A</v>
      </c>
      <c r="N48" s="642">
        <v>36</v>
      </c>
      <c r="O48" s="84">
        <v>24</v>
      </c>
      <c r="P48" s="574"/>
      <c r="Q48" s="72"/>
      <c r="R48" s="81" t="str">
        <f>IF(Q48="","",IF(Q48=Q49,"R",""))</f>
        <v/>
      </c>
      <c r="S48" s="78" t="e">
        <f>INDEX(Results!T:T,MATCH(P48,Results!V:V,0))</f>
        <v>#N/A</v>
      </c>
      <c r="T48" s="58"/>
      <c r="U48" s="60"/>
      <c r="V48" s="62"/>
      <c r="W48" s="72"/>
      <c r="X48" s="81" t="str">
        <f>IF(W48="","",IF(W48=W49,"R",""))</f>
        <v/>
      </c>
      <c r="Y48" s="78" t="e">
        <f>INDEX(Results!T:T,MATCH(V48,Results!V:V,0))</f>
        <v>#N/A</v>
      </c>
      <c r="Z48" s="58"/>
      <c r="AF48" s="76"/>
      <c r="AG48" s="76"/>
      <c r="AH48" s="76"/>
      <c r="AI48" s="76"/>
      <c r="AJ48" s="76"/>
      <c r="AK48" s="76"/>
      <c r="AL48" s="76"/>
      <c r="AM48" s="76"/>
      <c r="AN48" s="76"/>
      <c r="AO48" s="76"/>
      <c r="AP48" s="76"/>
      <c r="AQ48" s="76"/>
      <c r="AR48" s="76"/>
      <c r="AS48" s="76"/>
      <c r="AT48" s="76"/>
      <c r="AU48" s="76"/>
      <c r="AV48" s="76"/>
      <c r="AW48" s="76"/>
      <c r="AX48" s="76"/>
      <c r="AY48" s="76"/>
      <c r="AZ48" s="76"/>
      <c r="BA48" s="76"/>
      <c r="BB48" s="76"/>
      <c r="BC48" s="76"/>
      <c r="BD48" s="76"/>
      <c r="BE48" s="76"/>
      <c r="BF48" s="76"/>
    </row>
    <row r="49" spans="1:58">
      <c r="A49" s="76"/>
      <c r="B49" s="76"/>
      <c r="C49" s="77"/>
      <c r="D49" s="77"/>
      <c r="E49" s="76"/>
      <c r="F49" s="65">
        <v>48</v>
      </c>
      <c r="G49" s="66" t="s">
        <v>282</v>
      </c>
      <c r="H49" s="58"/>
      <c r="I49" s="83"/>
      <c r="J49" s="71"/>
      <c r="K49" s="72"/>
      <c r="L49" s="74"/>
      <c r="M49" s="75" t="e">
        <f>INDEX(Results!T:T,MATCH(J49,Results!V:V,0))</f>
        <v>#N/A</v>
      </c>
      <c r="N49" s="642"/>
      <c r="O49" s="83"/>
      <c r="P49" s="574"/>
      <c r="Q49" s="72"/>
      <c r="R49" s="61"/>
      <c r="S49" s="78" t="e">
        <f>INDEX(Results!T:T,MATCH(P49,Results!V:V,0))</f>
        <v>#N/A</v>
      </c>
      <c r="T49" s="58"/>
      <c r="U49" s="63"/>
      <c r="V49" s="62"/>
      <c r="W49" s="72"/>
      <c r="X49" s="64"/>
      <c r="Y49" s="78" t="e">
        <f>INDEX(Results!T:T,MATCH(V49,Results!V:V,0))</f>
        <v>#N/A</v>
      </c>
      <c r="Z49" s="58"/>
      <c r="AF49" s="76"/>
      <c r="AG49" s="76"/>
      <c r="AH49" s="76"/>
      <c r="AI49" s="76"/>
      <c r="AJ49" s="76"/>
      <c r="AK49" s="76"/>
      <c r="AL49" s="76"/>
      <c r="AM49" s="76"/>
      <c r="AN49" s="76"/>
      <c r="AO49" s="76"/>
      <c r="AP49" s="76"/>
      <c r="AQ49" s="76"/>
      <c r="AR49" s="76"/>
      <c r="AS49" s="76"/>
      <c r="AT49" s="76"/>
      <c r="AU49" s="76"/>
      <c r="AV49" s="76"/>
      <c r="AW49" s="76"/>
      <c r="AX49" s="76"/>
      <c r="AY49" s="76"/>
      <c r="AZ49" s="76"/>
      <c r="BA49" s="76"/>
      <c r="BB49" s="76"/>
      <c r="BC49" s="76"/>
      <c r="BD49" s="76"/>
      <c r="BE49" s="76"/>
      <c r="BF49" s="76"/>
    </row>
    <row r="50" spans="1:58">
      <c r="A50" s="76"/>
      <c r="B50" s="76"/>
      <c r="C50" s="77"/>
      <c r="D50" s="77"/>
      <c r="E50" s="76"/>
      <c r="F50" s="65">
        <v>49</v>
      </c>
      <c r="G50" s="66" t="s">
        <v>275</v>
      </c>
      <c r="H50" s="58"/>
      <c r="I50" s="84">
        <v>25</v>
      </c>
      <c r="J50" s="71"/>
      <c r="K50" s="72"/>
      <c r="L50" s="73" t="str">
        <f t="shared" si="0"/>
        <v/>
      </c>
      <c r="M50" s="75" t="e">
        <f>INDEX(Results!T:T,MATCH(J50,Results!V:V,0))</f>
        <v>#N/A</v>
      </c>
      <c r="N50" s="642">
        <v>37</v>
      </c>
      <c r="O50" s="84">
        <v>25</v>
      </c>
      <c r="P50" s="574"/>
      <c r="Q50" s="72"/>
      <c r="R50" s="81" t="str">
        <f>IF(Q50="","",IF(Q50=Q51,"R",""))</f>
        <v/>
      </c>
      <c r="S50" s="78" t="e">
        <f>INDEX(Results!T:T,MATCH(P50,Results!V:V,0))</f>
        <v>#N/A</v>
      </c>
      <c r="T50" s="76"/>
      <c r="U50" s="60"/>
      <c r="V50" s="62"/>
      <c r="W50" s="72"/>
      <c r="X50" s="81" t="str">
        <f>IF(W50="","",IF(W50=W51,"R",""))</f>
        <v/>
      </c>
      <c r="Y50" s="78" t="e">
        <f>INDEX(Results!T:T,MATCH(V50,Results!V:V,0))</f>
        <v>#N/A</v>
      </c>
      <c r="Z50" s="76"/>
      <c r="AF50" s="76"/>
      <c r="AG50" s="76"/>
      <c r="AH50" s="76"/>
      <c r="AI50" s="76"/>
      <c r="AJ50" s="76"/>
      <c r="AK50" s="76"/>
      <c r="AL50" s="76"/>
      <c r="AM50" s="76"/>
      <c r="AN50" s="76"/>
      <c r="AO50" s="76"/>
      <c r="AP50" s="76"/>
      <c r="AQ50" s="76"/>
      <c r="AR50" s="76"/>
      <c r="AS50" s="76"/>
      <c r="AT50" s="76"/>
      <c r="AU50" s="76"/>
      <c r="AV50" s="76"/>
      <c r="AW50" s="76"/>
      <c r="AX50" s="76"/>
      <c r="AY50" s="76"/>
      <c r="AZ50" s="76"/>
      <c r="BA50" s="76"/>
      <c r="BB50" s="76"/>
      <c r="BC50" s="76"/>
      <c r="BD50" s="76"/>
      <c r="BE50" s="76"/>
      <c r="BF50" s="76"/>
    </row>
    <row r="51" spans="1:58">
      <c r="A51" s="76"/>
      <c r="B51" s="76"/>
      <c r="C51" s="77"/>
      <c r="D51" s="77"/>
      <c r="E51" s="76"/>
      <c r="F51" s="65">
        <v>50</v>
      </c>
      <c r="G51" s="66" t="s">
        <v>298</v>
      </c>
      <c r="H51" s="58"/>
      <c r="I51" s="83"/>
      <c r="J51" s="71"/>
      <c r="K51" s="72"/>
      <c r="L51" s="74"/>
      <c r="M51" s="75" t="e">
        <f>INDEX(Results!T:T,MATCH(J51,Results!V:V,0))</f>
        <v>#N/A</v>
      </c>
      <c r="N51" s="642"/>
      <c r="O51" s="83"/>
      <c r="P51" s="574"/>
      <c r="Q51" s="72"/>
      <c r="R51" s="61"/>
      <c r="S51" s="78" t="e">
        <f>INDEX(Results!T:T,MATCH(P51,Results!V:V,0))</f>
        <v>#N/A</v>
      </c>
      <c r="T51" s="76"/>
      <c r="U51" s="63"/>
      <c r="V51" s="62"/>
      <c r="W51" s="72"/>
      <c r="X51" s="64"/>
      <c r="Y51" s="78" t="e">
        <f>INDEX(Results!T:T,MATCH(V51,Results!V:V,0))</f>
        <v>#N/A</v>
      </c>
      <c r="Z51" s="76"/>
      <c r="AF51" s="76"/>
      <c r="AG51" s="76"/>
      <c r="AH51" s="76"/>
      <c r="AI51" s="76"/>
      <c r="AJ51" s="76"/>
      <c r="AK51" s="76"/>
      <c r="AL51" s="76"/>
      <c r="AM51" s="76"/>
      <c r="AN51" s="76"/>
      <c r="AO51" s="76"/>
      <c r="AP51" s="76"/>
      <c r="AQ51" s="76"/>
      <c r="AR51" s="76"/>
      <c r="AS51" s="76"/>
      <c r="AT51" s="76"/>
      <c r="AU51" s="76"/>
      <c r="AV51" s="76"/>
      <c r="AW51" s="76"/>
      <c r="AX51" s="76"/>
      <c r="AY51" s="76"/>
      <c r="AZ51" s="76"/>
      <c r="BA51" s="76"/>
      <c r="BB51" s="76"/>
      <c r="BC51" s="76"/>
      <c r="BD51" s="76"/>
      <c r="BE51" s="76"/>
      <c r="BF51" s="76"/>
    </row>
    <row r="52" spans="1:58">
      <c r="A52" s="76"/>
      <c r="B52" s="76"/>
      <c r="C52" s="77"/>
      <c r="D52" s="77"/>
      <c r="E52" s="76"/>
      <c r="F52" s="65"/>
      <c r="G52" s="66"/>
      <c r="H52" s="58"/>
      <c r="I52" s="84">
        <v>26</v>
      </c>
      <c r="J52" s="71"/>
      <c r="K52" s="72"/>
      <c r="L52" s="73" t="str">
        <f t="shared" si="0"/>
        <v/>
      </c>
      <c r="M52" s="75" t="e">
        <f>INDEX(Results!T:T,MATCH(J52,Results!V:V,0))</f>
        <v>#N/A</v>
      </c>
      <c r="N52" s="642">
        <v>38</v>
      </c>
      <c r="O52" s="84">
        <v>26</v>
      </c>
      <c r="P52" s="574"/>
      <c r="Q52" s="72"/>
      <c r="R52" s="81" t="str">
        <f>IF(Q52="","",IF(Q52=Q53,"R",""))</f>
        <v/>
      </c>
      <c r="S52" s="78" t="e">
        <f>INDEX(Results!T:T,MATCH(P52,Results!V:V,0))</f>
        <v>#N/A</v>
      </c>
      <c r="T52" s="76"/>
      <c r="U52" s="60"/>
      <c r="V52" s="62"/>
      <c r="W52" s="72"/>
      <c r="X52" s="73" t="str">
        <f>IF(W52="","",IF(W52=W53,"R",""))</f>
        <v/>
      </c>
      <c r="Y52" s="78" t="e">
        <f>INDEX(Results!T:T,MATCH(V52,Results!V:V,0))</f>
        <v>#N/A</v>
      </c>
      <c r="Z52" s="76"/>
      <c r="AF52" s="76"/>
      <c r="AG52" s="76"/>
      <c r="AH52" s="76"/>
      <c r="AI52" s="76"/>
      <c r="AJ52" s="76"/>
      <c r="AK52" s="76"/>
      <c r="AL52" s="76"/>
      <c r="AM52" s="76"/>
      <c r="AN52" s="76"/>
      <c r="AO52" s="76"/>
      <c r="AP52" s="76"/>
      <c r="AQ52" s="76"/>
      <c r="AR52" s="76"/>
      <c r="AS52" s="76"/>
      <c r="AT52" s="76"/>
      <c r="AU52" s="76"/>
      <c r="AV52" s="76"/>
      <c r="AW52" s="76"/>
      <c r="AX52" s="76"/>
      <c r="AY52" s="76"/>
      <c r="AZ52" s="76"/>
      <c r="BA52" s="76"/>
      <c r="BB52" s="76"/>
      <c r="BC52" s="76"/>
      <c r="BD52" s="76"/>
      <c r="BE52" s="76"/>
      <c r="BF52" s="76"/>
    </row>
    <row r="53" spans="1:58">
      <c r="A53" s="76"/>
      <c r="B53" s="76"/>
      <c r="C53" s="77"/>
      <c r="D53" s="77"/>
      <c r="E53" s="76"/>
      <c r="F53" s="65"/>
      <c r="G53" s="66"/>
      <c r="H53" s="58"/>
      <c r="I53" s="83"/>
      <c r="J53" s="71"/>
      <c r="K53" s="72"/>
      <c r="L53" s="74"/>
      <c r="M53" s="75" t="e">
        <f>INDEX(Results!T:T,MATCH(J53,Results!V:V,0))</f>
        <v>#N/A</v>
      </c>
      <c r="N53" s="642"/>
      <c r="O53" s="83"/>
      <c r="P53" s="574"/>
      <c r="Q53" s="72"/>
      <c r="R53" s="61"/>
      <c r="S53" s="78" t="e">
        <f>INDEX(Results!T:T,MATCH(P53,Results!V:V,0))</f>
        <v>#N/A</v>
      </c>
      <c r="T53" s="76"/>
      <c r="U53" s="67"/>
      <c r="V53" s="62"/>
      <c r="W53" s="72"/>
      <c r="X53" s="61"/>
      <c r="Y53" s="78" t="e">
        <f>INDEX(Results!T:T,MATCH(V53,Results!V:V,0))</f>
        <v>#N/A</v>
      </c>
      <c r="Z53" s="76"/>
      <c r="AF53" s="76"/>
      <c r="AG53" s="76"/>
      <c r="AH53" s="76"/>
      <c r="AI53" s="76"/>
      <c r="AJ53" s="76"/>
      <c r="AK53" s="76"/>
      <c r="AL53" s="76"/>
      <c r="AM53" s="76"/>
      <c r="AN53" s="76"/>
      <c r="AO53" s="76"/>
      <c r="AP53" s="76"/>
      <c r="AQ53" s="76"/>
      <c r="AR53" s="76"/>
      <c r="AS53" s="76"/>
      <c r="AT53" s="76"/>
      <c r="AU53" s="76"/>
      <c r="AV53" s="76"/>
      <c r="AW53" s="76"/>
      <c r="AX53" s="76"/>
      <c r="AY53" s="76"/>
      <c r="AZ53" s="76"/>
      <c r="BA53" s="76"/>
      <c r="BB53" s="76"/>
      <c r="BC53" s="76"/>
      <c r="BD53" s="76"/>
      <c r="BE53" s="76"/>
      <c r="BF53" s="76"/>
    </row>
    <row r="54" spans="1:58">
      <c r="A54" s="76"/>
      <c r="B54" s="76"/>
      <c r="C54" s="77"/>
      <c r="D54" s="77"/>
      <c r="E54" s="76"/>
      <c r="F54" s="65"/>
      <c r="G54" s="66"/>
      <c r="H54" s="58"/>
      <c r="I54" s="84">
        <v>27</v>
      </c>
      <c r="J54" s="71"/>
      <c r="K54" s="72"/>
      <c r="L54" s="73" t="str">
        <f t="shared" si="0"/>
        <v/>
      </c>
      <c r="M54" s="75" t="e">
        <f>INDEX(Results!T:T,MATCH(J54,Results!V:V,0))</f>
        <v>#N/A</v>
      </c>
      <c r="N54" s="642">
        <v>39</v>
      </c>
      <c r="O54" s="84">
        <v>27</v>
      </c>
      <c r="P54" s="574"/>
      <c r="Q54" s="72"/>
      <c r="R54" s="81" t="str">
        <f>IF(Q54="","",IF(Q54=Q55,"R",""))</f>
        <v/>
      </c>
      <c r="S54" s="78" t="e">
        <f>INDEX(Results!T:T,MATCH(P54,Results!V:V,0))</f>
        <v>#N/A</v>
      </c>
      <c r="T54" s="76"/>
      <c r="U54" s="76"/>
      <c r="V54" s="76"/>
      <c r="W54" s="76"/>
      <c r="X54" s="76"/>
      <c r="Y54" s="79"/>
      <c r="Z54" s="76"/>
      <c r="AF54" s="76"/>
      <c r="AG54" s="76"/>
      <c r="AH54" s="76"/>
      <c r="AI54" s="76"/>
      <c r="AJ54" s="76"/>
      <c r="AK54" s="76"/>
      <c r="AL54" s="76"/>
      <c r="AM54" s="76"/>
      <c r="AN54" s="76"/>
      <c r="AO54" s="76"/>
      <c r="AP54" s="76"/>
      <c r="AQ54" s="76"/>
      <c r="AR54" s="76"/>
      <c r="AS54" s="76"/>
      <c r="AT54" s="76"/>
      <c r="AU54" s="76"/>
      <c r="AV54" s="76"/>
      <c r="AW54" s="76"/>
      <c r="AX54" s="76"/>
      <c r="AY54" s="76"/>
      <c r="AZ54" s="76"/>
      <c r="BA54" s="76"/>
      <c r="BB54" s="76"/>
      <c r="BC54" s="76"/>
      <c r="BD54" s="76"/>
      <c r="BE54" s="76"/>
      <c r="BF54" s="76"/>
    </row>
    <row r="55" spans="1:58">
      <c r="A55" s="76"/>
      <c r="B55" s="76"/>
      <c r="C55" s="77"/>
      <c r="D55" s="77"/>
      <c r="E55" s="76"/>
      <c r="F55" s="65"/>
      <c r="G55" s="66"/>
      <c r="H55" s="58"/>
      <c r="I55" s="83"/>
      <c r="J55" s="71"/>
      <c r="K55" s="72"/>
      <c r="L55" s="74"/>
      <c r="M55" s="75" t="e">
        <f>INDEX(Results!T:T,MATCH(J55,Results!V:V,0))</f>
        <v>#N/A</v>
      </c>
      <c r="N55" s="642"/>
      <c r="O55" s="83"/>
      <c r="P55" s="574"/>
      <c r="Q55" s="72"/>
      <c r="R55" s="61"/>
      <c r="S55" s="78" t="e">
        <f>INDEX(Results!T:T,MATCH(P55,Results!V:V,0))</f>
        <v>#N/A</v>
      </c>
      <c r="T55" s="76"/>
      <c r="U55" s="76"/>
      <c r="V55" s="76"/>
      <c r="W55" s="76"/>
      <c r="X55" s="76"/>
      <c r="Y55" s="79"/>
      <c r="Z55" s="76"/>
      <c r="AF55" s="76"/>
      <c r="AG55" s="76"/>
      <c r="AH55" s="76"/>
      <c r="AI55" s="76"/>
      <c r="AJ55" s="76"/>
      <c r="AK55" s="76"/>
      <c r="AL55" s="76"/>
      <c r="AM55" s="76"/>
      <c r="AN55" s="76"/>
      <c r="AO55" s="76"/>
      <c r="AP55" s="76"/>
      <c r="AQ55" s="76"/>
      <c r="AR55" s="76"/>
      <c r="AS55" s="76"/>
      <c r="AT55" s="76"/>
      <c r="AU55" s="76"/>
      <c r="AV55" s="76"/>
      <c r="AW55" s="76"/>
      <c r="AX55" s="76"/>
      <c r="AY55" s="76"/>
      <c r="AZ55" s="76"/>
      <c r="BA55" s="76"/>
      <c r="BB55" s="76"/>
      <c r="BC55" s="76"/>
      <c r="BD55" s="76"/>
      <c r="BE55" s="76"/>
      <c r="BF55" s="76"/>
    </row>
    <row r="56" spans="1:58">
      <c r="A56" s="76"/>
      <c r="B56" s="76"/>
      <c r="C56" s="77"/>
      <c r="D56" s="77"/>
      <c r="E56" s="76"/>
      <c r="F56" s="65"/>
      <c r="G56" s="66"/>
      <c r="H56" s="58"/>
      <c r="I56" s="84">
        <v>28</v>
      </c>
      <c r="J56" s="71"/>
      <c r="K56" s="72"/>
      <c r="L56" s="73" t="str">
        <f t="shared" si="0"/>
        <v/>
      </c>
      <c r="M56" s="75" t="e">
        <f>INDEX(Results!T:T,MATCH(J56,Results!V:V,0))</f>
        <v>#N/A</v>
      </c>
      <c r="N56" s="642">
        <v>40</v>
      </c>
      <c r="O56" s="84">
        <v>28</v>
      </c>
      <c r="P56" s="574"/>
      <c r="Q56" s="72"/>
      <c r="R56" s="81" t="str">
        <f>IF(Q56="","",IF(Q56=Q57,"R",""))</f>
        <v/>
      </c>
      <c r="S56" s="78" t="e">
        <f>INDEX(Results!T:T,MATCH(P56,Results!V:V,0))</f>
        <v>#N/A</v>
      </c>
      <c r="T56" s="76"/>
      <c r="U56" s="76"/>
      <c r="V56" s="76"/>
      <c r="W56" s="76"/>
      <c r="X56" s="76"/>
      <c r="Y56" s="79"/>
      <c r="Z56" s="76"/>
      <c r="AF56" s="76"/>
      <c r="AG56" s="76"/>
      <c r="AH56" s="76"/>
      <c r="AI56" s="76"/>
      <c r="AJ56" s="76"/>
      <c r="AK56" s="76"/>
      <c r="AL56" s="76"/>
      <c r="AM56" s="76"/>
      <c r="AN56" s="76"/>
      <c r="AO56" s="76"/>
      <c r="AP56" s="76"/>
      <c r="AQ56" s="76"/>
      <c r="AR56" s="76"/>
      <c r="AS56" s="76"/>
      <c r="AT56" s="76"/>
      <c r="AU56" s="76"/>
      <c r="AV56" s="76"/>
      <c r="AW56" s="76"/>
      <c r="AX56" s="76"/>
      <c r="AY56" s="76"/>
      <c r="AZ56" s="76"/>
      <c r="BA56" s="76"/>
      <c r="BB56" s="76"/>
      <c r="BC56" s="76"/>
      <c r="BD56" s="76"/>
      <c r="BE56" s="76"/>
      <c r="BF56" s="76"/>
    </row>
    <row r="57" spans="1:58">
      <c r="A57" s="76"/>
      <c r="B57" s="76"/>
      <c r="C57" s="77"/>
      <c r="D57" s="77"/>
      <c r="E57" s="76"/>
      <c r="F57" s="65"/>
      <c r="G57" s="66"/>
      <c r="H57" s="58"/>
      <c r="I57" s="83"/>
      <c r="J57" s="71"/>
      <c r="K57" s="72"/>
      <c r="L57" s="74"/>
      <c r="M57" s="75" t="e">
        <f>INDEX(Results!T:T,MATCH(J57,Results!V:V,0))</f>
        <v>#N/A</v>
      </c>
      <c r="N57" s="642"/>
      <c r="O57" s="83"/>
      <c r="P57" s="574"/>
      <c r="Q57" s="72"/>
      <c r="R57" s="61"/>
      <c r="S57" s="78" t="e">
        <f>INDEX(Results!T:T,MATCH(P57,Results!V:V,0))</f>
        <v>#N/A</v>
      </c>
      <c r="T57" s="76"/>
      <c r="U57" s="76"/>
      <c r="V57" s="76"/>
      <c r="W57" s="76"/>
      <c r="X57" s="76"/>
      <c r="Y57" s="79"/>
      <c r="Z57" s="76"/>
      <c r="AF57" s="76"/>
      <c r="AG57" s="76"/>
      <c r="AH57" s="76"/>
      <c r="AI57" s="76"/>
      <c r="AJ57" s="76"/>
      <c r="AK57" s="76"/>
      <c r="AL57" s="76"/>
      <c r="AM57" s="76"/>
      <c r="AN57" s="76"/>
      <c r="AO57" s="76"/>
      <c r="AP57" s="76"/>
      <c r="AQ57" s="76"/>
      <c r="AR57" s="76"/>
      <c r="AS57" s="76"/>
      <c r="AT57" s="76"/>
      <c r="AU57" s="76"/>
      <c r="AV57" s="76"/>
      <c r="AW57" s="76"/>
      <c r="AX57" s="76"/>
      <c r="AY57" s="76"/>
      <c r="AZ57" s="76"/>
      <c r="BA57" s="76"/>
      <c r="BB57" s="76"/>
      <c r="BC57" s="76"/>
      <c r="BD57" s="76"/>
      <c r="BE57" s="76"/>
      <c r="BF57" s="76"/>
    </row>
    <row r="58" spans="1:58">
      <c r="A58" s="76"/>
      <c r="B58" s="76"/>
      <c r="C58" s="77"/>
      <c r="D58" s="77"/>
      <c r="E58" s="76"/>
      <c r="F58" s="65"/>
      <c r="G58" s="66"/>
      <c r="H58" s="58"/>
      <c r="I58" s="84">
        <v>29</v>
      </c>
      <c r="J58" s="71"/>
      <c r="K58" s="72"/>
      <c r="L58" s="73" t="str">
        <f t="shared" si="0"/>
        <v/>
      </c>
      <c r="M58" s="75" t="e">
        <f>INDEX(Results!T:T,MATCH(J58,Results!V:V,0))</f>
        <v>#N/A</v>
      </c>
      <c r="N58" s="642">
        <v>41</v>
      </c>
      <c r="O58" s="84">
        <v>29</v>
      </c>
      <c r="P58" s="574"/>
      <c r="Q58" s="72"/>
      <c r="R58" s="81" t="str">
        <f>IF(Q58="","",IF(Q58=Q59,"R",""))</f>
        <v/>
      </c>
      <c r="S58" s="78" t="e">
        <f>INDEX(Results!T:T,MATCH(P58,Results!V:V,0))</f>
        <v>#N/A</v>
      </c>
      <c r="T58" s="76"/>
      <c r="U58" s="76"/>
      <c r="V58" s="76"/>
      <c r="W58" s="76"/>
      <c r="X58" s="76"/>
      <c r="Y58" s="79"/>
      <c r="Z58" s="76"/>
      <c r="AA58" s="58"/>
      <c r="AB58" s="58"/>
      <c r="AC58" s="58"/>
      <c r="AD58" s="58"/>
      <c r="AE58" s="80"/>
      <c r="AF58" s="76"/>
      <c r="AG58" s="76"/>
      <c r="AH58" s="76"/>
      <c r="AI58" s="76"/>
      <c r="AJ58" s="76"/>
      <c r="AK58" s="76"/>
      <c r="AL58" s="76"/>
      <c r="AM58" s="76"/>
      <c r="AN58" s="76"/>
      <c r="AO58" s="76"/>
      <c r="AP58" s="76"/>
      <c r="AQ58" s="76"/>
      <c r="AR58" s="76"/>
      <c r="AS58" s="76"/>
    </row>
    <row r="59" spans="1:58">
      <c r="A59" s="76"/>
      <c r="B59" s="76"/>
      <c r="C59" s="77"/>
      <c r="D59" s="77"/>
      <c r="E59" s="76"/>
      <c r="F59" s="65"/>
      <c r="G59" s="66"/>
      <c r="H59" s="58"/>
      <c r="I59" s="83"/>
      <c r="J59" s="71"/>
      <c r="K59" s="72"/>
      <c r="L59" s="74"/>
      <c r="M59" s="75" t="e">
        <f>INDEX(Results!T:T,MATCH(J59,Results!V:V,0))</f>
        <v>#N/A</v>
      </c>
      <c r="N59" s="642"/>
      <c r="O59" s="83"/>
      <c r="P59" s="574"/>
      <c r="Q59" s="72"/>
      <c r="R59" s="61"/>
      <c r="S59" s="78" t="e">
        <f>INDEX(Results!T:T,MATCH(P59,Results!V:V,0))</f>
        <v>#N/A</v>
      </c>
      <c r="T59" s="76"/>
      <c r="U59" s="76"/>
      <c r="V59" s="76"/>
      <c r="W59" s="76"/>
      <c r="X59" s="76"/>
      <c r="Y59" s="79"/>
      <c r="Z59" s="76"/>
      <c r="AA59" s="58"/>
      <c r="AB59" s="58"/>
      <c r="AC59" s="58"/>
      <c r="AD59" s="58"/>
      <c r="AE59" s="80"/>
      <c r="AF59" s="76"/>
      <c r="AG59" s="76"/>
      <c r="AH59" s="76"/>
      <c r="AI59" s="76"/>
      <c r="AJ59" s="76"/>
      <c r="AK59" s="76"/>
      <c r="AL59" s="76"/>
      <c r="AM59" s="76"/>
      <c r="AN59" s="76"/>
      <c r="AO59" s="76"/>
      <c r="AP59" s="76"/>
      <c r="AQ59" s="76"/>
      <c r="AR59" s="76"/>
      <c r="AS59" s="76"/>
    </row>
    <row r="60" spans="1:58">
      <c r="A60" s="76"/>
      <c r="B60" s="76"/>
      <c r="C60" s="77"/>
      <c r="D60" s="77"/>
      <c r="E60" s="76"/>
      <c r="F60" s="65"/>
      <c r="G60" s="66"/>
      <c r="H60" s="58"/>
      <c r="I60" s="84">
        <v>30</v>
      </c>
      <c r="J60" s="71"/>
      <c r="K60" s="72"/>
      <c r="L60" s="73" t="str">
        <f t="shared" si="0"/>
        <v/>
      </c>
      <c r="M60" s="75" t="e">
        <f>INDEX(Results!T:T,MATCH(J60,Results!V:V,0))</f>
        <v>#N/A</v>
      </c>
      <c r="N60" s="642">
        <v>42</v>
      </c>
      <c r="O60" s="84">
        <v>30</v>
      </c>
      <c r="P60" s="574"/>
      <c r="Q60" s="72"/>
      <c r="R60" s="81" t="str">
        <f>IF(Q60="","",IF(Q60=Q61,"R",""))</f>
        <v/>
      </c>
      <c r="S60" s="78" t="e">
        <f>INDEX(Results!T:T,MATCH(P60,Results!V:V,0))</f>
        <v>#N/A</v>
      </c>
      <c r="T60" s="76"/>
      <c r="U60" s="76"/>
      <c r="V60" s="76"/>
      <c r="W60" s="76"/>
      <c r="X60" s="76"/>
      <c r="Y60" s="79"/>
      <c r="Z60" s="76"/>
      <c r="AA60" s="58"/>
      <c r="AB60" s="58"/>
      <c r="AC60" s="58"/>
      <c r="AD60" s="58"/>
      <c r="AE60" s="80"/>
      <c r="AF60" s="76"/>
      <c r="AG60" s="76"/>
      <c r="AH60" s="76"/>
      <c r="AI60" s="76"/>
      <c r="AJ60" s="76"/>
      <c r="AK60" s="76"/>
      <c r="AL60" s="76"/>
      <c r="AM60" s="76"/>
      <c r="AN60" s="76"/>
      <c r="AO60" s="76"/>
      <c r="AP60" s="76"/>
      <c r="AQ60" s="76"/>
      <c r="AR60" s="76"/>
      <c r="AS60" s="76"/>
    </row>
    <row r="61" spans="1:58">
      <c r="A61" s="76"/>
      <c r="B61" s="76"/>
      <c r="C61" s="77"/>
      <c r="D61" s="77"/>
      <c r="E61" s="76"/>
      <c r="F61" s="65"/>
      <c r="G61" s="66"/>
      <c r="H61" s="58"/>
      <c r="I61" s="83"/>
      <c r="J61" s="71"/>
      <c r="K61" s="72"/>
      <c r="L61" s="74"/>
      <c r="M61" s="75" t="e">
        <f>INDEX(Results!T:T,MATCH(J61,Results!V:V,0))</f>
        <v>#N/A</v>
      </c>
      <c r="N61" s="642"/>
      <c r="O61" s="83"/>
      <c r="P61" s="574"/>
      <c r="Q61" s="72"/>
      <c r="R61" s="61"/>
      <c r="S61" s="78" t="e">
        <f>INDEX(Results!T:T,MATCH(P61,Results!V:V,0))</f>
        <v>#N/A</v>
      </c>
      <c r="T61" s="76"/>
      <c r="U61" s="76"/>
      <c r="V61" s="76"/>
      <c r="W61" s="76"/>
      <c r="X61" s="76"/>
      <c r="Y61" s="79"/>
      <c r="Z61" s="76"/>
      <c r="AA61" s="58"/>
      <c r="AB61" s="58"/>
      <c r="AC61" s="58"/>
      <c r="AD61" s="58"/>
      <c r="AE61" s="80"/>
      <c r="AF61" s="76"/>
      <c r="AG61" s="76"/>
      <c r="AH61" s="76"/>
      <c r="AI61" s="76"/>
      <c r="AJ61" s="76"/>
      <c r="AK61" s="76"/>
      <c r="AL61" s="76"/>
      <c r="AM61" s="76"/>
      <c r="AN61" s="76"/>
      <c r="AO61" s="76"/>
      <c r="AP61" s="76"/>
      <c r="AQ61" s="76"/>
      <c r="AR61" s="76"/>
      <c r="AS61" s="76"/>
    </row>
    <row r="62" spans="1:58">
      <c r="A62" s="76"/>
      <c r="B62" s="76"/>
      <c r="C62" s="77"/>
      <c r="D62" s="77"/>
      <c r="E62" s="76"/>
      <c r="F62" s="65"/>
      <c r="G62" s="66"/>
      <c r="H62" s="58"/>
      <c r="I62" s="84">
        <v>31</v>
      </c>
      <c r="J62" s="71"/>
      <c r="K62" s="72"/>
      <c r="L62" s="73" t="str">
        <f t="shared" si="0"/>
        <v/>
      </c>
      <c r="M62" s="75" t="e">
        <f>INDEX(Results!T:T,MATCH(J62,Results!V:V,0))</f>
        <v>#N/A</v>
      </c>
      <c r="N62" s="642">
        <v>43</v>
      </c>
      <c r="O62" s="84">
        <v>31</v>
      </c>
      <c r="P62" s="574"/>
      <c r="Q62" s="72"/>
      <c r="R62" s="81" t="str">
        <f>IF(Q62="","",IF(Q62=Q63,"R",""))</f>
        <v/>
      </c>
      <c r="S62" s="78" t="e">
        <f>INDEX(Results!T:T,MATCH(P62,Results!V:V,0))</f>
        <v>#N/A</v>
      </c>
      <c r="T62" s="76"/>
      <c r="U62" s="76"/>
      <c r="V62" s="76"/>
      <c r="W62" s="76"/>
      <c r="X62" s="76"/>
      <c r="Y62" s="79"/>
      <c r="Z62" s="76"/>
      <c r="AA62" s="58"/>
      <c r="AB62" s="58"/>
      <c r="AC62" s="58"/>
      <c r="AD62" s="58"/>
      <c r="AE62" s="80"/>
      <c r="AF62" s="76"/>
      <c r="AG62" s="76"/>
      <c r="AH62" s="76"/>
      <c r="AI62" s="76"/>
      <c r="AJ62" s="76"/>
      <c r="AK62" s="76"/>
      <c r="AL62" s="76"/>
      <c r="AM62" s="76"/>
      <c r="AN62" s="76"/>
      <c r="AO62" s="76"/>
      <c r="AP62" s="76"/>
      <c r="AQ62" s="76"/>
      <c r="AR62" s="76"/>
      <c r="AS62" s="76"/>
    </row>
    <row r="63" spans="1:58">
      <c r="A63" s="76"/>
      <c r="B63" s="76"/>
      <c r="C63" s="77"/>
      <c r="D63" s="77"/>
      <c r="E63" s="76"/>
      <c r="F63" s="65"/>
      <c r="G63" s="66"/>
      <c r="H63" s="58"/>
      <c r="I63" s="83"/>
      <c r="J63" s="71"/>
      <c r="K63" s="72"/>
      <c r="L63" s="74"/>
      <c r="M63" s="75" t="e">
        <f>INDEX(Results!T:T,MATCH(J63,Results!V:V,0))</f>
        <v>#N/A</v>
      </c>
      <c r="N63" s="642"/>
      <c r="O63" s="83"/>
      <c r="P63" s="574"/>
      <c r="Q63" s="72"/>
      <c r="R63" s="61"/>
      <c r="S63" s="78" t="e">
        <f>INDEX(Results!T:T,MATCH(P63,Results!V:V,0))</f>
        <v>#N/A</v>
      </c>
      <c r="T63" s="76"/>
      <c r="U63" s="76"/>
      <c r="V63" s="76"/>
      <c r="W63" s="76"/>
      <c r="X63" s="76"/>
      <c r="Y63" s="79"/>
      <c r="Z63" s="76"/>
      <c r="AA63" s="76"/>
      <c r="AB63" s="76"/>
      <c r="AC63" s="76"/>
      <c r="AD63" s="76"/>
      <c r="AE63" s="80"/>
      <c r="AF63" s="76"/>
      <c r="AG63" s="76"/>
      <c r="AH63" s="76"/>
      <c r="AI63" s="76"/>
      <c r="AJ63" s="76"/>
      <c r="AK63" s="76"/>
      <c r="AL63" s="76"/>
      <c r="AM63" s="76"/>
      <c r="AN63" s="76"/>
      <c r="AO63" s="76"/>
      <c r="AP63" s="76"/>
      <c r="AQ63" s="76"/>
      <c r="AR63" s="76"/>
      <c r="AS63" s="76"/>
    </row>
    <row r="64" spans="1:58">
      <c r="A64" s="76"/>
      <c r="B64" s="76"/>
      <c r="C64" s="77"/>
      <c r="D64" s="77"/>
      <c r="E64" s="76"/>
      <c r="F64" s="65"/>
      <c r="G64" s="66"/>
      <c r="H64" s="58"/>
      <c r="I64" s="84">
        <v>32</v>
      </c>
      <c r="J64" s="71"/>
      <c r="K64" s="72"/>
      <c r="L64" s="73" t="str">
        <f t="shared" si="0"/>
        <v/>
      </c>
      <c r="M64" s="75" t="e">
        <f>INDEX(Results!T:T,MATCH(J64,Results!V:V,0))</f>
        <v>#N/A</v>
      </c>
      <c r="N64" s="642">
        <v>44</v>
      </c>
      <c r="O64" s="84">
        <v>32</v>
      </c>
      <c r="P64" s="574"/>
      <c r="Q64" s="72"/>
      <c r="R64" s="81" t="str">
        <f>IF(Q64="","",IF(Q64=Q65,"R",""))</f>
        <v/>
      </c>
      <c r="S64" s="78" t="e">
        <f>INDEX(Results!T:T,MATCH(P64,Results!V:V,0))</f>
        <v>#N/A</v>
      </c>
      <c r="T64" s="76"/>
      <c r="U64" s="76"/>
      <c r="V64" s="76"/>
      <c r="W64" s="76"/>
      <c r="X64" s="76"/>
      <c r="Y64" s="79"/>
      <c r="Z64" s="76"/>
      <c r="AA64" s="76"/>
      <c r="AB64" s="76"/>
      <c r="AC64" s="76"/>
      <c r="AD64" s="76"/>
      <c r="AE64" s="80"/>
      <c r="AF64" s="76"/>
      <c r="AG64" s="76"/>
      <c r="AH64" s="76"/>
      <c r="AI64" s="76"/>
      <c r="AJ64" s="76"/>
      <c r="AK64" s="76"/>
      <c r="AL64" s="76"/>
      <c r="AM64" s="76"/>
      <c r="AN64" s="76"/>
      <c r="AO64" s="76"/>
      <c r="AP64" s="76"/>
      <c r="AQ64" s="76"/>
      <c r="AR64" s="76"/>
      <c r="AS64" s="76"/>
    </row>
    <row r="65" spans="1:45">
      <c r="A65" s="76"/>
      <c r="B65" s="76"/>
      <c r="C65" s="77"/>
      <c r="D65" s="77"/>
      <c r="E65" s="76"/>
      <c r="F65" s="65"/>
      <c r="G65" s="66"/>
      <c r="H65" s="58"/>
      <c r="I65" s="83"/>
      <c r="J65" s="71"/>
      <c r="K65" s="72"/>
      <c r="L65" s="74"/>
      <c r="M65" s="75" t="e">
        <f>INDEX(Results!T:T,MATCH(J65,Results!V:V,0))</f>
        <v>#N/A</v>
      </c>
      <c r="N65" s="642"/>
      <c r="O65" s="83"/>
      <c r="P65" s="574"/>
      <c r="Q65" s="72"/>
      <c r="R65" s="61"/>
      <c r="S65" s="78" t="e">
        <f>INDEX(Results!T:T,MATCH(P65,Results!V:V,0))</f>
        <v>#N/A</v>
      </c>
      <c r="T65" s="76"/>
      <c r="U65" s="76"/>
      <c r="V65" s="76"/>
      <c r="W65" s="76"/>
      <c r="X65" s="76"/>
      <c r="Y65" s="79"/>
      <c r="Z65" s="76"/>
      <c r="AA65" s="76"/>
      <c r="AB65" s="76"/>
      <c r="AC65" s="76"/>
      <c r="AD65" s="76"/>
      <c r="AE65" s="80"/>
      <c r="AF65" s="76"/>
      <c r="AG65" s="76"/>
      <c r="AH65" s="76"/>
      <c r="AI65" s="76"/>
      <c r="AJ65" s="76"/>
      <c r="AK65" s="76"/>
      <c r="AL65" s="76"/>
      <c r="AM65" s="76"/>
      <c r="AN65" s="76"/>
      <c r="AO65" s="76"/>
      <c r="AP65" s="76"/>
      <c r="AQ65" s="76"/>
      <c r="AR65" s="76"/>
      <c r="AS65" s="76"/>
    </row>
    <row r="66" spans="1:45">
      <c r="A66" s="76"/>
      <c r="B66" s="76"/>
      <c r="C66" s="77"/>
      <c r="D66" s="77"/>
      <c r="E66" s="76"/>
      <c r="F66" s="65"/>
      <c r="G66" s="66"/>
      <c r="H66" s="58"/>
      <c r="I66" s="84">
        <v>33</v>
      </c>
      <c r="J66" s="71"/>
      <c r="K66" s="72"/>
      <c r="L66" s="73" t="str">
        <f t="shared" si="0"/>
        <v/>
      </c>
      <c r="M66" s="75" t="e">
        <f>INDEX(Results!T:T,MATCH(J66,Results!V:V,0))</f>
        <v>#N/A</v>
      </c>
      <c r="N66" s="79"/>
      <c r="O66" s="59"/>
      <c r="P66" s="58"/>
      <c r="Q66" s="86"/>
      <c r="R66" s="58"/>
      <c r="S66" s="79"/>
      <c r="T66" s="76"/>
      <c r="U66" s="76"/>
      <c r="V66" s="76"/>
      <c r="W66" s="76"/>
      <c r="X66" s="76"/>
      <c r="Y66" s="79"/>
      <c r="Z66" s="76"/>
      <c r="AA66" s="76"/>
      <c r="AB66" s="76"/>
      <c r="AC66" s="76"/>
      <c r="AD66" s="76"/>
      <c r="AE66" s="80"/>
      <c r="AF66" s="76"/>
      <c r="AG66" s="76"/>
      <c r="AH66" s="76"/>
      <c r="AI66" s="76"/>
      <c r="AJ66" s="76"/>
      <c r="AK66" s="76"/>
      <c r="AL66" s="76"/>
      <c r="AM66" s="76"/>
      <c r="AN66" s="76"/>
      <c r="AO66" s="76"/>
      <c r="AP66" s="76"/>
      <c r="AQ66" s="76"/>
      <c r="AR66" s="76"/>
      <c r="AS66" s="76"/>
    </row>
    <row r="67" spans="1:45">
      <c r="A67" s="76"/>
      <c r="B67" s="76"/>
      <c r="C67" s="77"/>
      <c r="D67" s="77"/>
      <c r="E67" s="76"/>
      <c r="F67" s="65"/>
      <c r="G67" s="66"/>
      <c r="H67" s="58"/>
      <c r="I67" s="83"/>
      <c r="J67" s="71"/>
      <c r="K67" s="72"/>
      <c r="L67" s="74"/>
      <c r="M67" s="75" t="e">
        <f>INDEX(Results!T:T,MATCH(J67,Results!V:V,0))</f>
        <v>#N/A</v>
      </c>
      <c r="N67" s="79"/>
      <c r="O67" s="59"/>
      <c r="P67" s="58"/>
      <c r="Q67" s="86"/>
      <c r="R67" s="58"/>
      <c r="S67" s="79"/>
      <c r="T67" s="76"/>
      <c r="U67" s="76"/>
      <c r="V67" s="76"/>
      <c r="W67" s="76"/>
      <c r="X67" s="76"/>
      <c r="Y67" s="79"/>
      <c r="Z67" s="76"/>
      <c r="AA67" s="76"/>
      <c r="AB67" s="76"/>
      <c r="AC67" s="76"/>
      <c r="AD67" s="76"/>
      <c r="AE67" s="80"/>
      <c r="AF67" s="76"/>
      <c r="AG67" s="76"/>
      <c r="AH67" s="76"/>
      <c r="AI67" s="76"/>
      <c r="AJ67" s="76"/>
      <c r="AK67" s="76"/>
      <c r="AL67" s="76"/>
      <c r="AM67" s="76"/>
      <c r="AN67" s="76"/>
      <c r="AO67" s="76"/>
      <c r="AP67" s="76"/>
      <c r="AQ67" s="76"/>
      <c r="AR67" s="76"/>
      <c r="AS67" s="76"/>
    </row>
    <row r="68" spans="1:45">
      <c r="A68" s="76"/>
      <c r="B68" s="76"/>
      <c r="C68" s="77"/>
      <c r="D68" s="77"/>
      <c r="E68" s="76"/>
      <c r="F68" s="65"/>
      <c r="G68" s="66"/>
      <c r="H68" s="58"/>
      <c r="I68" s="84">
        <v>34</v>
      </c>
      <c r="J68" s="71"/>
      <c r="K68" s="72"/>
      <c r="L68" s="73" t="str">
        <f t="shared" si="0"/>
        <v/>
      </c>
      <c r="M68" s="75" t="e">
        <f>INDEX(Results!T:T,MATCH(J68,Results!V:V,0))</f>
        <v>#N/A</v>
      </c>
      <c r="N68" s="79"/>
      <c r="O68" s="59" t="s">
        <v>484</v>
      </c>
      <c r="P68" s="76"/>
      <c r="Q68" s="87"/>
      <c r="R68" s="76"/>
      <c r="S68" s="80"/>
      <c r="T68" s="76"/>
      <c r="U68" s="76"/>
      <c r="V68" s="76"/>
      <c r="W68" s="76"/>
      <c r="X68" s="76"/>
      <c r="Y68" s="79"/>
      <c r="Z68" s="76"/>
      <c r="AA68" s="76"/>
      <c r="AB68" s="76"/>
      <c r="AC68" s="76"/>
      <c r="AD68" s="76"/>
      <c r="AE68" s="80"/>
      <c r="AF68" s="76"/>
      <c r="AG68" s="76"/>
      <c r="AH68" s="76"/>
      <c r="AI68" s="76"/>
      <c r="AJ68" s="76"/>
      <c r="AK68" s="76"/>
      <c r="AL68" s="76"/>
      <c r="AM68" s="76"/>
      <c r="AN68" s="76"/>
      <c r="AO68" s="76"/>
      <c r="AP68" s="76"/>
      <c r="AQ68" s="76"/>
      <c r="AR68" s="76"/>
      <c r="AS68" s="76"/>
    </row>
    <row r="69" spans="1:45">
      <c r="A69" s="76"/>
      <c r="B69" s="76"/>
      <c r="C69" s="77"/>
      <c r="D69" s="77"/>
      <c r="E69" s="76"/>
      <c r="F69" s="65"/>
      <c r="G69" s="66"/>
      <c r="H69" s="58"/>
      <c r="I69" s="83"/>
      <c r="J69" s="71"/>
      <c r="K69" s="72"/>
      <c r="L69" s="74"/>
      <c r="M69" s="75" t="e">
        <f>INDEX(Results!T:T,MATCH(J69,Results!V:V,0))</f>
        <v>#N/A</v>
      </c>
      <c r="N69" s="79"/>
      <c r="O69" s="84"/>
      <c r="P69" s="68"/>
      <c r="Q69" s="72"/>
      <c r="R69" s="81"/>
      <c r="S69" s="78"/>
      <c r="T69" s="76"/>
      <c r="U69" s="76"/>
      <c r="V69" s="76"/>
      <c r="W69" s="76"/>
      <c r="X69" s="76"/>
      <c r="Y69" s="79"/>
      <c r="Z69" s="76"/>
      <c r="AA69" s="76"/>
      <c r="AB69" s="76"/>
      <c r="AC69" s="76"/>
      <c r="AD69" s="76"/>
      <c r="AE69" s="80"/>
      <c r="AF69" s="76"/>
      <c r="AG69" s="76"/>
      <c r="AH69" s="76"/>
      <c r="AI69" s="76"/>
      <c r="AJ69" s="76"/>
      <c r="AK69" s="76"/>
      <c r="AL69" s="76"/>
      <c r="AM69" s="76"/>
      <c r="AN69" s="76"/>
      <c r="AO69" s="76"/>
      <c r="AP69" s="76"/>
      <c r="AQ69" s="76"/>
      <c r="AR69" s="76"/>
      <c r="AS69" s="76"/>
    </row>
    <row r="70" spans="1:45">
      <c r="A70" s="76"/>
      <c r="B70" s="76"/>
      <c r="C70" s="77"/>
      <c r="D70" s="77"/>
      <c r="E70" s="76"/>
      <c r="F70" s="77"/>
      <c r="H70" s="58"/>
      <c r="I70" s="84">
        <v>35</v>
      </c>
      <c r="J70" s="71"/>
      <c r="K70" s="72"/>
      <c r="L70" s="73" t="str">
        <f t="shared" si="0"/>
        <v/>
      </c>
      <c r="M70" s="75" t="e">
        <f>INDEX(Results!T:T,MATCH(J70,Results!V:V,0))</f>
        <v>#N/A</v>
      </c>
      <c r="N70" s="79"/>
      <c r="O70" s="83"/>
      <c r="P70" s="68"/>
      <c r="Q70" s="72"/>
      <c r="R70" s="61"/>
      <c r="S70" s="78"/>
      <c r="T70" s="76"/>
      <c r="U70" s="76"/>
      <c r="V70" s="76"/>
      <c r="W70" s="76"/>
      <c r="X70" s="76"/>
      <c r="Y70" s="79"/>
      <c r="Z70" s="76"/>
      <c r="AA70" s="76"/>
      <c r="AB70" s="76"/>
      <c r="AC70" s="76"/>
      <c r="AD70" s="76"/>
      <c r="AE70" s="80"/>
      <c r="AF70" s="76"/>
      <c r="AG70" s="76"/>
      <c r="AH70" s="76"/>
      <c r="AI70" s="76"/>
      <c r="AJ70" s="76"/>
      <c r="AK70" s="76"/>
      <c r="AL70" s="76"/>
      <c r="AM70" s="76"/>
      <c r="AN70" s="76"/>
      <c r="AO70" s="76"/>
      <c r="AP70" s="76"/>
      <c r="AQ70" s="76"/>
      <c r="AR70" s="76"/>
      <c r="AS70" s="76"/>
    </row>
    <row r="71" spans="1:45">
      <c r="A71" s="76"/>
      <c r="B71" s="76"/>
      <c r="C71" s="77"/>
      <c r="D71" s="77"/>
      <c r="E71" s="76"/>
      <c r="F71" s="77"/>
      <c r="H71" s="58"/>
      <c r="I71" s="83"/>
      <c r="J71" s="71"/>
      <c r="K71" s="72"/>
      <c r="L71" s="74"/>
      <c r="M71" s="75" t="e">
        <f>INDEX(Results!T:T,MATCH(J71,Results!V:V,0))</f>
        <v>#N/A</v>
      </c>
      <c r="N71" s="79"/>
      <c r="O71" s="84"/>
      <c r="P71" s="68"/>
      <c r="Q71" s="72"/>
      <c r="R71" s="81"/>
      <c r="S71" s="78"/>
      <c r="T71" s="76"/>
      <c r="U71" s="76"/>
      <c r="V71" s="76"/>
      <c r="W71" s="76"/>
      <c r="X71" s="76"/>
      <c r="Y71" s="79"/>
      <c r="Z71" s="76"/>
      <c r="AA71" s="76"/>
      <c r="AB71" s="76"/>
      <c r="AC71" s="76"/>
      <c r="AD71" s="76"/>
      <c r="AE71" s="80"/>
      <c r="AF71" s="76"/>
      <c r="AG71" s="76"/>
      <c r="AH71" s="76"/>
      <c r="AI71" s="76"/>
      <c r="AJ71" s="76"/>
      <c r="AK71" s="76"/>
      <c r="AL71" s="76"/>
      <c r="AM71" s="76"/>
      <c r="AN71" s="76"/>
      <c r="AO71" s="76"/>
      <c r="AP71" s="76"/>
      <c r="AQ71" s="76"/>
      <c r="AR71" s="76"/>
      <c r="AS71" s="76"/>
    </row>
    <row r="72" spans="1:45">
      <c r="A72" s="76"/>
      <c r="B72" s="76"/>
      <c r="C72" s="77"/>
      <c r="D72" s="77"/>
      <c r="E72" s="76"/>
      <c r="H72" s="58"/>
      <c r="I72" s="84">
        <v>36</v>
      </c>
      <c r="J72" s="71"/>
      <c r="K72" s="72"/>
      <c r="L72" s="73" t="str">
        <f t="shared" si="0"/>
        <v/>
      </c>
      <c r="M72" s="75" t="e">
        <f>INDEX(Results!T:T,MATCH(J72,Results!V:V,0))</f>
        <v>#N/A</v>
      </c>
      <c r="N72" s="79"/>
      <c r="O72" s="83"/>
      <c r="P72" s="68"/>
      <c r="Q72" s="72"/>
      <c r="R72" s="61"/>
      <c r="S72" s="78"/>
      <c r="T72" s="76"/>
      <c r="U72" s="76"/>
      <c r="V72" s="76"/>
      <c r="W72" s="76"/>
      <c r="X72" s="76"/>
      <c r="Y72" s="79"/>
      <c r="Z72" s="76"/>
      <c r="AA72" s="76"/>
      <c r="AB72" s="76"/>
      <c r="AC72" s="76"/>
      <c r="AD72" s="76"/>
      <c r="AE72" s="80"/>
      <c r="AF72" s="76"/>
      <c r="AG72" s="76"/>
      <c r="AH72" s="76"/>
      <c r="AI72" s="76"/>
      <c r="AJ72" s="76"/>
      <c r="AK72" s="76"/>
      <c r="AL72" s="76"/>
      <c r="AM72" s="76"/>
      <c r="AN72" s="76"/>
      <c r="AO72" s="76"/>
      <c r="AP72" s="76"/>
      <c r="AQ72" s="76"/>
      <c r="AR72" s="76"/>
      <c r="AS72" s="76"/>
    </row>
    <row r="73" spans="1:45">
      <c r="A73" s="76"/>
      <c r="B73" s="76"/>
      <c r="C73" s="77"/>
      <c r="D73" s="77"/>
      <c r="E73" s="76"/>
      <c r="H73" s="58"/>
      <c r="I73" s="83"/>
      <c r="J73" s="71"/>
      <c r="K73" s="72"/>
      <c r="L73" s="74"/>
      <c r="M73" s="75" t="e">
        <f>INDEX(Results!T:T,MATCH(J73,Results!V:V,0))</f>
        <v>#N/A</v>
      </c>
      <c r="N73" s="79"/>
      <c r="O73" s="84"/>
      <c r="P73" s="68"/>
      <c r="Q73" s="72"/>
      <c r="R73" s="81" t="str">
        <f>IF(Q73="","",IF(Q73=Q74,"R",""))</f>
        <v/>
      </c>
      <c r="S73" s="78"/>
      <c r="T73" s="76"/>
      <c r="U73" s="76"/>
      <c r="V73" s="76"/>
      <c r="W73" s="76"/>
      <c r="X73" s="76"/>
      <c r="Y73" s="79"/>
      <c r="Z73" s="76"/>
      <c r="AA73" s="76"/>
      <c r="AB73" s="76"/>
      <c r="AC73" s="76"/>
      <c r="AD73" s="76"/>
      <c r="AE73" s="80"/>
      <c r="AF73" s="76"/>
      <c r="AG73" s="76"/>
      <c r="AH73" s="76"/>
      <c r="AI73" s="76"/>
      <c r="AJ73" s="76"/>
      <c r="AK73" s="76"/>
      <c r="AL73" s="76"/>
      <c r="AM73" s="76"/>
      <c r="AN73" s="76"/>
      <c r="AO73" s="76"/>
      <c r="AP73" s="76"/>
      <c r="AQ73" s="76"/>
      <c r="AR73" s="76"/>
      <c r="AS73" s="76"/>
    </row>
    <row r="74" spans="1:45">
      <c r="A74" s="76"/>
      <c r="B74" s="76"/>
      <c r="C74" s="77"/>
      <c r="D74" s="77"/>
      <c r="E74" s="76"/>
      <c r="H74" s="58"/>
      <c r="I74" s="59"/>
      <c r="J74" s="58"/>
      <c r="K74" s="58"/>
      <c r="L74" s="58"/>
      <c r="M74" s="58"/>
      <c r="N74" s="79"/>
      <c r="O74" s="83"/>
      <c r="P74" s="68"/>
      <c r="Q74" s="72"/>
      <c r="R74" s="61"/>
      <c r="S74" s="78"/>
      <c r="T74" s="76"/>
      <c r="U74" s="76"/>
      <c r="V74" s="76"/>
      <c r="W74" s="76"/>
      <c r="X74" s="76"/>
      <c r="Y74" s="79"/>
      <c r="Z74" s="76"/>
      <c r="AA74" s="76"/>
      <c r="AB74" s="76"/>
      <c r="AC74" s="76"/>
      <c r="AD74" s="76"/>
      <c r="AE74" s="80"/>
      <c r="AF74" s="76"/>
      <c r="AG74" s="76"/>
      <c r="AH74" s="76"/>
      <c r="AI74" s="76"/>
      <c r="AJ74" s="76"/>
      <c r="AK74" s="76"/>
      <c r="AL74" s="76"/>
      <c r="AM74" s="76"/>
      <c r="AN74" s="76"/>
      <c r="AO74" s="76"/>
      <c r="AP74" s="76"/>
      <c r="AQ74" s="76"/>
      <c r="AR74" s="76"/>
      <c r="AS74" s="76"/>
    </row>
    <row r="75" spans="1:45">
      <c r="A75" s="76"/>
      <c r="B75" s="76"/>
      <c r="C75" s="77"/>
      <c r="D75" s="77"/>
      <c r="E75" s="76"/>
      <c r="H75" s="58"/>
      <c r="I75" s="59"/>
      <c r="J75" s="58"/>
      <c r="K75" s="58"/>
      <c r="L75" s="58"/>
      <c r="M75" s="58"/>
      <c r="N75" s="79"/>
      <c r="O75" s="84"/>
      <c r="P75" s="68"/>
      <c r="Q75" s="72"/>
      <c r="R75" s="81" t="str">
        <f>IF(Q75="","",IF(Q75=Q76,"R",""))</f>
        <v/>
      </c>
      <c r="S75" s="78"/>
      <c r="T75" s="76"/>
      <c r="U75" s="76"/>
      <c r="V75" s="76"/>
      <c r="W75" s="76"/>
      <c r="X75" s="76"/>
      <c r="Y75" s="79"/>
      <c r="Z75" s="76"/>
      <c r="AA75" s="76"/>
      <c r="AB75" s="76"/>
      <c r="AC75" s="76"/>
      <c r="AD75" s="76"/>
      <c r="AE75" s="80"/>
      <c r="AF75" s="76"/>
      <c r="AG75" s="76"/>
      <c r="AH75" s="76"/>
      <c r="AI75" s="76"/>
      <c r="AJ75" s="76"/>
      <c r="AK75" s="76"/>
      <c r="AL75" s="76"/>
      <c r="AM75" s="76"/>
      <c r="AN75" s="76"/>
      <c r="AO75" s="76"/>
      <c r="AP75" s="76"/>
      <c r="AQ75" s="76"/>
      <c r="AR75" s="76"/>
      <c r="AS75" s="76"/>
    </row>
    <row r="76" spans="1:45">
      <c r="A76" s="76"/>
      <c r="B76" s="76"/>
      <c r="C76" s="77"/>
      <c r="D76" s="77"/>
      <c r="E76" s="76"/>
      <c r="H76" s="58"/>
      <c r="I76" s="59"/>
      <c r="J76" s="58"/>
      <c r="K76" s="58"/>
      <c r="L76" s="58"/>
      <c r="M76" s="58"/>
      <c r="N76" s="79"/>
      <c r="O76" s="83"/>
      <c r="P76" s="68"/>
      <c r="Q76" s="72"/>
      <c r="R76" s="61"/>
      <c r="S76" s="78"/>
      <c r="T76" s="76"/>
      <c r="U76" s="76"/>
      <c r="V76" s="76"/>
      <c r="W76" s="76"/>
      <c r="X76" s="76"/>
      <c r="Y76" s="79"/>
      <c r="Z76" s="76"/>
      <c r="AA76" s="76"/>
      <c r="AB76" s="76"/>
      <c r="AC76" s="76"/>
      <c r="AD76" s="76"/>
      <c r="AE76" s="80"/>
      <c r="AF76" s="76"/>
      <c r="AG76" s="76"/>
      <c r="AH76" s="76"/>
      <c r="AI76" s="76"/>
      <c r="AJ76" s="76"/>
      <c r="AK76" s="76"/>
      <c r="AL76" s="76"/>
      <c r="AM76" s="76"/>
      <c r="AN76" s="76"/>
      <c r="AO76" s="76"/>
      <c r="AP76" s="76"/>
      <c r="AQ76" s="76"/>
      <c r="AR76" s="76"/>
      <c r="AS76" s="76"/>
    </row>
    <row r="77" spans="1:45">
      <c r="A77" s="76"/>
      <c r="B77" s="76"/>
      <c r="C77" s="77"/>
      <c r="D77" s="77"/>
      <c r="E77" s="76"/>
      <c r="H77" s="58"/>
      <c r="I77" s="59"/>
      <c r="J77" s="58"/>
      <c r="K77" s="58"/>
      <c r="L77" s="58"/>
      <c r="M77" s="58"/>
      <c r="N77" s="79"/>
      <c r="O77" s="704"/>
      <c r="P77" s="68"/>
      <c r="Q77" s="72"/>
      <c r="R77" s="81" t="str">
        <f>IF(Q77="","",IF(Q77=Q78,"R",""))</f>
        <v/>
      </c>
      <c r="S77" s="79"/>
      <c r="T77" s="76"/>
      <c r="U77" s="76"/>
      <c r="V77" s="76"/>
      <c r="W77" s="76"/>
      <c r="X77" s="76"/>
      <c r="Y77" s="79"/>
      <c r="Z77" s="76"/>
      <c r="AA77" s="76"/>
      <c r="AB77" s="76"/>
      <c r="AC77" s="76"/>
      <c r="AD77" s="76"/>
      <c r="AE77" s="80"/>
      <c r="AF77" s="76"/>
      <c r="AG77" s="76"/>
      <c r="AH77" s="76"/>
      <c r="AI77" s="76"/>
      <c r="AJ77" s="76"/>
      <c r="AK77" s="76"/>
      <c r="AL77" s="76"/>
      <c r="AM77" s="76"/>
      <c r="AN77" s="76"/>
      <c r="AO77" s="76"/>
      <c r="AP77" s="76"/>
      <c r="AQ77" s="76"/>
      <c r="AR77" s="76"/>
      <c r="AS77" s="76"/>
    </row>
    <row r="78" spans="1:45">
      <c r="A78" s="76"/>
      <c r="B78" s="76"/>
      <c r="C78" s="77"/>
      <c r="D78" s="77"/>
      <c r="E78" s="76"/>
      <c r="H78" s="58"/>
      <c r="I78" s="59" t="s">
        <v>137</v>
      </c>
      <c r="J78" s="76"/>
      <c r="K78" s="76"/>
      <c r="L78" s="76"/>
      <c r="M78" s="58"/>
      <c r="N78" s="79"/>
      <c r="O78" s="705"/>
      <c r="P78" s="68"/>
      <c r="Q78" s="72"/>
      <c r="R78" s="61"/>
      <c r="S78" s="79"/>
      <c r="T78" s="76"/>
      <c r="U78" s="76"/>
      <c r="V78" s="76"/>
      <c r="W78" s="76"/>
      <c r="X78" s="76"/>
      <c r="Y78" s="79"/>
      <c r="Z78" s="76"/>
      <c r="AA78" s="76"/>
      <c r="AB78" s="76"/>
      <c r="AC78" s="76"/>
      <c r="AD78" s="76"/>
      <c r="AE78" s="80"/>
      <c r="AF78" s="76"/>
      <c r="AG78" s="76"/>
      <c r="AH78" s="76"/>
      <c r="AI78" s="76"/>
      <c r="AJ78" s="76"/>
      <c r="AK78" s="76"/>
      <c r="AL78" s="76"/>
      <c r="AM78" s="76"/>
      <c r="AN78" s="76"/>
      <c r="AO78" s="76"/>
      <c r="AP78" s="76"/>
      <c r="AQ78" s="76"/>
      <c r="AR78" s="76"/>
      <c r="AS78" s="76"/>
    </row>
    <row r="79" spans="1:45">
      <c r="A79" s="76"/>
      <c r="B79" s="76"/>
      <c r="C79" s="77"/>
      <c r="D79" s="77"/>
      <c r="E79" s="76"/>
      <c r="H79" s="58"/>
      <c r="I79" s="119"/>
      <c r="J79" s="68"/>
      <c r="K79" s="72"/>
      <c r="L79" s="81"/>
      <c r="M79" s="58"/>
      <c r="N79" s="79"/>
      <c r="O79" s="82"/>
      <c r="P79" s="68"/>
      <c r="Q79" s="72"/>
      <c r="R79" s="81" t="str">
        <f>IF(Q79="","",IF(Q79=Q80,"R",""))</f>
        <v/>
      </c>
      <c r="S79" s="79"/>
      <c r="T79" s="76"/>
      <c r="U79" s="76"/>
      <c r="V79" s="76"/>
      <c r="W79" s="76"/>
      <c r="X79" s="76"/>
      <c r="Y79" s="79"/>
      <c r="Z79" s="76"/>
      <c r="AA79" s="76"/>
      <c r="AB79" s="76"/>
      <c r="AC79" s="76"/>
      <c r="AD79" s="76"/>
      <c r="AE79" s="80"/>
      <c r="AF79" s="76"/>
      <c r="AG79" s="76"/>
      <c r="AH79" s="76"/>
      <c r="AI79" s="76"/>
      <c r="AJ79" s="76"/>
      <c r="AK79" s="76"/>
      <c r="AL79" s="76"/>
      <c r="AM79" s="76"/>
      <c r="AN79" s="76"/>
      <c r="AO79" s="76"/>
      <c r="AP79" s="76"/>
      <c r="AQ79" s="76"/>
      <c r="AR79" s="76"/>
      <c r="AS79" s="76"/>
    </row>
    <row r="80" spans="1:45">
      <c r="A80" s="76"/>
      <c r="B80" s="76"/>
      <c r="C80" s="77"/>
      <c r="D80" s="77"/>
      <c r="E80" s="76"/>
      <c r="H80" s="58"/>
      <c r="I80" s="120"/>
      <c r="J80" s="68"/>
      <c r="K80" s="72"/>
      <c r="L80" s="61"/>
      <c r="M80" s="58"/>
      <c r="N80" s="79"/>
      <c r="O80" s="83"/>
      <c r="P80" s="68"/>
      <c r="Q80" s="72"/>
      <c r="R80" s="61"/>
      <c r="S80" s="79"/>
      <c r="T80" s="76"/>
      <c r="U80" s="76"/>
      <c r="V80" s="76"/>
      <c r="W80" s="76"/>
      <c r="X80" s="76"/>
      <c r="Y80" s="79"/>
      <c r="Z80" s="76"/>
      <c r="AA80" s="76"/>
      <c r="AB80" s="76"/>
      <c r="AC80" s="76"/>
      <c r="AD80" s="76"/>
      <c r="AE80" s="80"/>
      <c r="AF80" s="76"/>
      <c r="AG80" s="76"/>
      <c r="AH80" s="76"/>
      <c r="AI80" s="76"/>
      <c r="AJ80" s="76"/>
      <c r="AK80" s="76"/>
      <c r="AL80" s="76"/>
      <c r="AM80" s="76"/>
      <c r="AN80" s="76"/>
      <c r="AO80" s="76"/>
      <c r="AP80" s="76"/>
      <c r="AQ80" s="76"/>
      <c r="AR80" s="76"/>
      <c r="AS80" s="76"/>
    </row>
    <row r="81" spans="1:45">
      <c r="A81" s="76"/>
      <c r="B81" s="76"/>
      <c r="C81" s="77"/>
      <c r="D81" s="77"/>
      <c r="E81" s="76"/>
      <c r="H81" s="58"/>
      <c r="I81" s="82"/>
      <c r="J81" s="68"/>
      <c r="K81" s="72"/>
      <c r="L81" s="81" t="str">
        <f>IF(K81="","",IF(K81=K82,"R",""))</f>
        <v/>
      </c>
      <c r="M81" s="58"/>
      <c r="N81" s="79"/>
      <c r="O81" s="704"/>
      <c r="P81" s="68"/>
      <c r="Q81" s="72"/>
      <c r="R81" s="81" t="str">
        <f>IF(Q81="","",IF(Q81=Q82,"R",""))</f>
        <v/>
      </c>
      <c r="S81" s="79"/>
      <c r="T81" s="76"/>
      <c r="U81" s="76"/>
      <c r="V81" s="76"/>
      <c r="W81" s="76"/>
      <c r="X81" s="76"/>
      <c r="Y81" s="79"/>
      <c r="Z81" s="76"/>
      <c r="AA81" s="76"/>
      <c r="AB81" s="76"/>
      <c r="AC81" s="76"/>
      <c r="AD81" s="76"/>
      <c r="AE81" s="80"/>
      <c r="AF81" s="76"/>
      <c r="AG81" s="76"/>
      <c r="AH81" s="76"/>
      <c r="AI81" s="76"/>
      <c r="AJ81" s="76"/>
      <c r="AK81" s="76"/>
      <c r="AL81" s="76"/>
      <c r="AM81" s="76"/>
      <c r="AN81" s="76"/>
      <c r="AO81" s="76"/>
      <c r="AP81" s="76"/>
      <c r="AQ81" s="76"/>
      <c r="AR81" s="76"/>
      <c r="AS81" s="76"/>
    </row>
    <row r="82" spans="1:45">
      <c r="A82" s="76"/>
      <c r="B82" s="76"/>
      <c r="C82" s="77"/>
      <c r="D82" s="77"/>
      <c r="E82" s="76"/>
      <c r="H82" s="76"/>
      <c r="I82" s="83"/>
      <c r="J82" s="68"/>
      <c r="K82" s="72"/>
      <c r="L82" s="61"/>
      <c r="M82" s="58"/>
      <c r="N82" s="79"/>
      <c r="O82" s="705"/>
      <c r="P82" s="68"/>
      <c r="Q82" s="72"/>
      <c r="R82" s="61"/>
      <c r="S82" s="80"/>
      <c r="T82" s="76"/>
      <c r="U82" s="76"/>
      <c r="V82" s="76"/>
      <c r="W82" s="76"/>
      <c r="X82" s="76"/>
      <c r="Y82" s="80"/>
      <c r="Z82" s="76"/>
      <c r="AA82" s="76"/>
      <c r="AB82" s="76"/>
      <c r="AC82" s="76"/>
      <c r="AD82" s="76"/>
      <c r="AE82" s="80"/>
      <c r="AF82" s="76"/>
      <c r="AG82" s="76"/>
      <c r="AH82" s="76"/>
      <c r="AI82" s="76"/>
      <c r="AJ82" s="76"/>
      <c r="AK82" s="76"/>
      <c r="AL82" s="76"/>
      <c r="AM82" s="76"/>
      <c r="AN82" s="76"/>
      <c r="AO82" s="76"/>
      <c r="AP82" s="76"/>
      <c r="AQ82" s="76"/>
      <c r="AR82" s="76"/>
      <c r="AS82" s="76"/>
    </row>
    <row r="83" spans="1:45">
      <c r="A83" s="76"/>
      <c r="B83" s="76"/>
      <c r="C83" s="77"/>
      <c r="D83" s="77"/>
      <c r="E83" s="76"/>
      <c r="H83" s="76"/>
      <c r="I83" s="119"/>
      <c r="J83" s="68"/>
      <c r="K83" s="72"/>
      <c r="L83" s="81" t="str">
        <f>IF(K83="","",IF(K83=K84,"R",""))</f>
        <v/>
      </c>
      <c r="M83" s="58"/>
      <c r="N83" s="79"/>
      <c r="O83" s="82"/>
      <c r="P83" s="68"/>
      <c r="Q83" s="72"/>
      <c r="R83" s="81" t="str">
        <f>IF(Q83="","",IF(Q83=Q84,"R",""))</f>
        <v/>
      </c>
      <c r="S83" s="80"/>
      <c r="T83" s="76"/>
      <c r="U83" s="76"/>
      <c r="V83" s="76"/>
      <c r="W83" s="76"/>
      <c r="X83" s="76"/>
      <c r="Y83" s="80"/>
      <c r="Z83" s="76"/>
      <c r="AA83" s="76"/>
      <c r="AB83" s="76"/>
      <c r="AC83" s="76"/>
      <c r="AD83" s="76"/>
      <c r="AE83" s="80"/>
      <c r="AF83" s="76"/>
      <c r="AG83" s="76"/>
      <c r="AH83" s="76"/>
      <c r="AI83" s="76"/>
      <c r="AJ83" s="76"/>
      <c r="AK83" s="76"/>
      <c r="AL83" s="76"/>
      <c r="AM83" s="76"/>
      <c r="AN83" s="76"/>
      <c r="AO83" s="76"/>
      <c r="AP83" s="76"/>
      <c r="AQ83" s="76"/>
      <c r="AR83" s="76"/>
      <c r="AS83" s="76"/>
    </row>
    <row r="84" spans="1:45">
      <c r="A84" s="76"/>
      <c r="B84" s="76"/>
      <c r="C84" s="77"/>
      <c r="D84" s="77"/>
      <c r="E84" s="76"/>
      <c r="H84" s="76"/>
      <c r="I84" s="120"/>
      <c r="J84" s="68"/>
      <c r="K84" s="72"/>
      <c r="L84" s="61"/>
      <c r="M84" s="58"/>
      <c r="N84" s="79"/>
      <c r="O84" s="83"/>
      <c r="P84" s="68"/>
      <c r="Q84" s="72"/>
      <c r="R84" s="61"/>
      <c r="S84" s="80"/>
      <c r="T84" s="76"/>
      <c r="U84" s="76"/>
      <c r="V84" s="76"/>
      <c r="W84" s="76"/>
      <c r="X84" s="76"/>
      <c r="Y84" s="80"/>
      <c r="Z84" s="76"/>
      <c r="AA84" s="76"/>
      <c r="AB84" s="76"/>
      <c r="AC84" s="76"/>
      <c r="AD84" s="76"/>
      <c r="AE84" s="80"/>
      <c r="AF84" s="76"/>
      <c r="AG84" s="76"/>
      <c r="AH84" s="76"/>
      <c r="AI84" s="76"/>
      <c r="AJ84" s="76"/>
      <c r="AK84" s="76"/>
      <c r="AL84" s="76"/>
      <c r="AM84" s="76"/>
      <c r="AN84" s="76"/>
      <c r="AO84" s="76"/>
      <c r="AP84" s="76"/>
      <c r="AQ84" s="76"/>
      <c r="AR84" s="76"/>
      <c r="AS84" s="76"/>
    </row>
    <row r="85" spans="1:45">
      <c r="A85" s="76"/>
      <c r="B85" s="76"/>
      <c r="C85" s="77"/>
      <c r="D85" s="77"/>
      <c r="E85" s="76"/>
      <c r="H85" s="76"/>
      <c r="I85" s="82"/>
      <c r="J85" s="68"/>
      <c r="K85" s="72"/>
      <c r="L85" s="81" t="str">
        <f>IF(K85="","",IF(K85=K86,"R",""))</f>
        <v/>
      </c>
      <c r="M85" s="58"/>
      <c r="N85" s="79"/>
      <c r="O85" s="704"/>
      <c r="P85" s="68"/>
      <c r="Q85" s="72"/>
      <c r="R85" s="81" t="str">
        <f>IF(Q85="","",IF(Q85=Q86,"R",""))</f>
        <v/>
      </c>
      <c r="S85" s="80"/>
      <c r="T85" s="76"/>
      <c r="U85" s="76"/>
      <c r="V85" s="76"/>
      <c r="W85" s="76"/>
      <c r="X85" s="76"/>
      <c r="Y85" s="80"/>
      <c r="Z85" s="76"/>
      <c r="AA85" s="76"/>
      <c r="AB85" s="76"/>
      <c r="AC85" s="76"/>
      <c r="AD85" s="76"/>
      <c r="AE85" s="80"/>
      <c r="AF85" s="76"/>
      <c r="AG85" s="76"/>
      <c r="AH85" s="76"/>
      <c r="AI85" s="76"/>
      <c r="AJ85" s="76"/>
      <c r="AK85" s="76"/>
      <c r="AL85" s="76"/>
      <c r="AM85" s="76"/>
      <c r="AN85" s="76"/>
      <c r="AO85" s="76"/>
      <c r="AP85" s="76"/>
      <c r="AQ85" s="76"/>
      <c r="AR85" s="76"/>
      <c r="AS85" s="76"/>
    </row>
    <row r="86" spans="1:45">
      <c r="A86" s="76"/>
      <c r="B86" s="76"/>
      <c r="C86" s="77"/>
      <c r="D86" s="77"/>
      <c r="E86" s="76"/>
      <c r="H86" s="76"/>
      <c r="I86" s="83"/>
      <c r="J86" s="68"/>
      <c r="K86" s="72"/>
      <c r="L86" s="61"/>
      <c r="M86" s="58"/>
      <c r="N86" s="79"/>
      <c r="O86" s="705"/>
      <c r="P86" s="68"/>
      <c r="Q86" s="72"/>
      <c r="R86" s="61"/>
      <c r="S86" s="80"/>
      <c r="T86" s="76"/>
      <c r="U86" s="76"/>
      <c r="V86" s="76"/>
      <c r="W86" s="76"/>
      <c r="X86" s="76"/>
      <c r="Y86" s="80"/>
      <c r="Z86" s="76"/>
      <c r="AA86" s="76"/>
      <c r="AB86" s="76"/>
      <c r="AC86" s="76"/>
      <c r="AD86" s="76"/>
      <c r="AE86" s="80"/>
      <c r="AF86" s="76"/>
      <c r="AG86" s="76"/>
      <c r="AH86" s="76"/>
      <c r="AI86" s="76"/>
      <c r="AJ86" s="76"/>
      <c r="AK86" s="76"/>
      <c r="AL86" s="76"/>
      <c r="AM86" s="76"/>
      <c r="AN86" s="76"/>
      <c r="AO86" s="76"/>
      <c r="AP86" s="76"/>
      <c r="AQ86" s="76"/>
      <c r="AR86" s="76"/>
      <c r="AS86" s="76"/>
    </row>
    <row r="87" spans="1:45">
      <c r="A87" s="76"/>
      <c r="B87" s="76"/>
      <c r="C87" s="77"/>
      <c r="D87" s="77"/>
      <c r="E87" s="76"/>
      <c r="H87" s="76"/>
      <c r="I87" s="704"/>
      <c r="J87" s="68"/>
      <c r="K87" s="72"/>
      <c r="L87" s="81" t="str">
        <f>IF(K87="","",IF(K87=K88,"R",""))</f>
        <v/>
      </c>
      <c r="M87" s="58"/>
      <c r="N87" s="79"/>
      <c r="O87" s="82"/>
      <c r="P87" s="68"/>
      <c r="Q87" s="72"/>
      <c r="R87" s="81" t="str">
        <f>IF(Q87="","",IF(Q87=Q88,"R",""))</f>
        <v/>
      </c>
      <c r="S87" s="80"/>
      <c r="T87" s="76"/>
      <c r="U87" s="76"/>
      <c r="V87" s="76"/>
      <c r="W87" s="76"/>
      <c r="X87" s="76"/>
      <c r="Y87" s="80"/>
      <c r="Z87" s="76"/>
      <c r="AA87" s="76"/>
      <c r="AB87" s="76"/>
      <c r="AC87" s="76"/>
      <c r="AD87" s="76"/>
      <c r="AE87" s="80"/>
      <c r="AF87" s="76"/>
      <c r="AG87" s="76"/>
      <c r="AH87" s="76"/>
      <c r="AI87" s="76"/>
      <c r="AJ87" s="76"/>
      <c r="AK87" s="76"/>
      <c r="AL87" s="76"/>
      <c r="AM87" s="76"/>
      <c r="AN87" s="76"/>
      <c r="AO87" s="76"/>
      <c r="AP87" s="76"/>
      <c r="AQ87" s="76"/>
      <c r="AR87" s="76"/>
      <c r="AS87" s="76"/>
    </row>
    <row r="88" spans="1:45">
      <c r="A88" s="76"/>
      <c r="B88" s="76"/>
      <c r="C88" s="77"/>
      <c r="D88" s="77"/>
      <c r="E88" s="76"/>
      <c r="H88" s="76"/>
      <c r="I88" s="705"/>
      <c r="J88" s="68"/>
      <c r="K88" s="72"/>
      <c r="L88" s="61"/>
      <c r="M88" s="58"/>
      <c r="N88" s="79"/>
      <c r="O88" s="83"/>
      <c r="P88" s="68"/>
      <c r="Q88" s="72"/>
      <c r="R88" s="61"/>
      <c r="S88" s="80"/>
      <c r="T88" s="76"/>
      <c r="U88" s="76"/>
      <c r="V88" s="76"/>
      <c r="W88" s="76"/>
      <c r="X88" s="76"/>
      <c r="Y88" s="80"/>
      <c r="Z88" s="76"/>
      <c r="AA88" s="76"/>
      <c r="AB88" s="76"/>
      <c r="AC88" s="76"/>
      <c r="AD88" s="76"/>
      <c r="AE88" s="80"/>
      <c r="AF88" s="76"/>
      <c r="AG88" s="76"/>
      <c r="AH88" s="76"/>
      <c r="AI88" s="76"/>
      <c r="AJ88" s="76"/>
      <c r="AK88" s="76"/>
      <c r="AL88" s="76"/>
      <c r="AM88" s="76"/>
      <c r="AN88" s="76"/>
      <c r="AO88" s="76"/>
      <c r="AP88" s="76"/>
      <c r="AQ88" s="76"/>
      <c r="AR88" s="76"/>
      <c r="AS88" s="76"/>
    </row>
    <row r="89" spans="1:45">
      <c r="A89" s="76"/>
      <c r="B89" s="76"/>
      <c r="C89" s="77"/>
      <c r="D89" s="77"/>
      <c r="E89" s="76"/>
      <c r="H89" s="76"/>
      <c r="I89" s="82"/>
      <c r="J89" s="68"/>
      <c r="K89" s="72"/>
      <c r="L89" s="81" t="str">
        <f>IF(K89="","",IF(K89=K90,"R",""))</f>
        <v/>
      </c>
      <c r="M89" s="58"/>
      <c r="N89" s="79"/>
      <c r="O89" s="704"/>
      <c r="P89" s="68"/>
      <c r="Q89" s="72"/>
      <c r="R89" s="81" t="str">
        <f>IF(Q89="","",IF(Q89=Q90,"R",""))</f>
        <v/>
      </c>
      <c r="S89" s="80"/>
      <c r="T89" s="76"/>
      <c r="U89" s="76"/>
      <c r="V89" s="76"/>
      <c r="W89" s="76"/>
      <c r="X89" s="76"/>
      <c r="Y89" s="80"/>
      <c r="Z89" s="76"/>
      <c r="AA89" s="76"/>
      <c r="AB89" s="76"/>
      <c r="AC89" s="76"/>
      <c r="AD89" s="76"/>
      <c r="AE89" s="80"/>
      <c r="AF89" s="76"/>
      <c r="AG89" s="76"/>
      <c r="AH89" s="76"/>
      <c r="AI89" s="76"/>
      <c r="AJ89" s="76"/>
      <c r="AK89" s="76"/>
      <c r="AL89" s="76"/>
      <c r="AM89" s="76"/>
      <c r="AN89" s="76"/>
      <c r="AO89" s="76"/>
      <c r="AP89" s="76"/>
      <c r="AQ89" s="76"/>
      <c r="AR89" s="76"/>
      <c r="AS89" s="76"/>
    </row>
    <row r="90" spans="1:45">
      <c r="A90" s="76"/>
      <c r="B90" s="76"/>
      <c r="C90" s="77"/>
      <c r="D90" s="77"/>
      <c r="E90" s="76"/>
      <c r="H90" s="76"/>
      <c r="I90" s="83"/>
      <c r="J90" s="68"/>
      <c r="K90" s="72"/>
      <c r="L90" s="61"/>
      <c r="M90" s="58"/>
      <c r="N90" s="79"/>
      <c r="O90" s="705"/>
      <c r="P90" s="68"/>
      <c r="Q90" s="72"/>
      <c r="R90" s="61"/>
      <c r="S90" s="80"/>
      <c r="T90" s="76"/>
      <c r="U90" s="76"/>
      <c r="V90" s="76"/>
      <c r="W90" s="76"/>
      <c r="X90" s="76"/>
      <c r="Y90" s="80"/>
      <c r="Z90" s="76"/>
      <c r="AA90" s="76"/>
      <c r="AB90" s="76"/>
      <c r="AC90" s="76"/>
      <c r="AD90" s="76"/>
      <c r="AE90" s="80"/>
      <c r="AF90" s="76"/>
      <c r="AG90" s="76"/>
      <c r="AH90" s="76"/>
      <c r="AI90" s="76"/>
      <c r="AJ90" s="76"/>
      <c r="AK90" s="76"/>
      <c r="AL90" s="76"/>
      <c r="AM90" s="76"/>
      <c r="AN90" s="76"/>
      <c r="AO90" s="76"/>
      <c r="AP90" s="76"/>
      <c r="AQ90" s="76"/>
      <c r="AR90" s="76"/>
      <c r="AS90" s="76"/>
    </row>
    <row r="91" spans="1:45">
      <c r="A91" s="76"/>
      <c r="B91" s="76"/>
      <c r="C91" s="77"/>
      <c r="D91" s="77"/>
      <c r="E91" s="76"/>
      <c r="H91" s="76"/>
      <c r="I91" s="704"/>
      <c r="J91" s="68"/>
      <c r="K91" s="72"/>
      <c r="L91" s="81" t="str">
        <f>IF(K91="","",IF(K91=K92,"R",""))</f>
        <v/>
      </c>
      <c r="M91" s="58"/>
      <c r="N91" s="79"/>
      <c r="O91" s="82"/>
      <c r="P91" s="68"/>
      <c r="Q91" s="72"/>
      <c r="R91" s="81" t="str">
        <f>IF(Q91="","",IF(Q91=Q92,"R",""))</f>
        <v/>
      </c>
      <c r="S91" s="80"/>
      <c r="T91" s="76"/>
      <c r="U91" s="76"/>
      <c r="V91" s="76"/>
      <c r="W91" s="76"/>
      <c r="X91" s="76"/>
      <c r="Y91" s="80"/>
      <c r="Z91" s="76"/>
      <c r="AA91" s="76"/>
      <c r="AB91" s="76"/>
      <c r="AC91" s="76"/>
      <c r="AD91" s="76"/>
      <c r="AE91" s="80"/>
      <c r="AF91" s="76"/>
      <c r="AG91" s="76"/>
      <c r="AH91" s="76"/>
      <c r="AI91" s="76"/>
      <c r="AJ91" s="76"/>
      <c r="AK91" s="76"/>
      <c r="AL91" s="76"/>
      <c r="AM91" s="76"/>
      <c r="AN91" s="76"/>
      <c r="AO91" s="76"/>
      <c r="AP91" s="76"/>
      <c r="AQ91" s="76"/>
      <c r="AR91" s="76"/>
      <c r="AS91" s="76"/>
    </row>
    <row r="92" spans="1:45">
      <c r="A92" s="76"/>
      <c r="B92" s="76"/>
      <c r="C92" s="77"/>
      <c r="D92" s="77"/>
      <c r="E92" s="76"/>
      <c r="H92" s="76"/>
      <c r="I92" s="705"/>
      <c r="J92" s="68"/>
      <c r="K92" s="72"/>
      <c r="L92" s="61"/>
      <c r="M92" s="58"/>
      <c r="N92" s="79"/>
      <c r="O92" s="83"/>
      <c r="P92" s="68"/>
      <c r="Q92" s="72"/>
      <c r="R92" s="61"/>
      <c r="S92" s="80"/>
      <c r="T92" s="76"/>
      <c r="U92" s="76"/>
      <c r="V92" s="76"/>
      <c r="W92" s="76"/>
      <c r="X92" s="76"/>
      <c r="Y92" s="80"/>
      <c r="Z92" s="76"/>
      <c r="AA92" s="76"/>
      <c r="AB92" s="76"/>
      <c r="AC92" s="76"/>
      <c r="AD92" s="76"/>
      <c r="AE92" s="80"/>
      <c r="AF92" s="76"/>
      <c r="AG92" s="76"/>
      <c r="AH92" s="76"/>
      <c r="AI92" s="76"/>
      <c r="AJ92" s="76"/>
      <c r="AK92" s="76"/>
      <c r="AL92" s="76"/>
      <c r="AM92" s="76"/>
      <c r="AN92" s="76"/>
      <c r="AO92" s="76"/>
      <c r="AP92" s="76"/>
      <c r="AQ92" s="76"/>
      <c r="AR92" s="76"/>
      <c r="AS92" s="76"/>
    </row>
    <row r="93" spans="1:45">
      <c r="A93" s="76"/>
      <c r="B93" s="76"/>
      <c r="C93" s="77"/>
      <c r="D93" s="77"/>
      <c r="E93" s="76"/>
      <c r="H93" s="76"/>
      <c r="I93" s="82"/>
      <c r="J93" s="68"/>
      <c r="K93" s="72"/>
      <c r="L93" s="81" t="str">
        <f>IF(K93="","",IF(K93=K94,"R",""))</f>
        <v/>
      </c>
      <c r="M93" s="58"/>
      <c r="N93" s="79"/>
      <c r="O93" s="77"/>
      <c r="P93" s="76"/>
      <c r="Q93" s="76"/>
      <c r="R93" s="76"/>
      <c r="S93" s="80"/>
      <c r="T93" s="76"/>
      <c r="U93" s="76"/>
      <c r="V93" s="76"/>
      <c r="W93" s="76"/>
      <c r="X93" s="76"/>
      <c r="Y93" s="80"/>
      <c r="Z93" s="76"/>
      <c r="AA93" s="76"/>
      <c r="AB93" s="76"/>
      <c r="AC93" s="76"/>
      <c r="AD93" s="76"/>
      <c r="AE93" s="80"/>
      <c r="AF93" s="76"/>
      <c r="AG93" s="76"/>
      <c r="AH93" s="76"/>
      <c r="AI93" s="76"/>
      <c r="AJ93" s="76"/>
      <c r="AK93" s="76"/>
      <c r="AL93" s="76"/>
      <c r="AM93" s="76"/>
      <c r="AN93" s="76"/>
      <c r="AO93" s="76"/>
      <c r="AP93" s="76"/>
      <c r="AQ93" s="76"/>
      <c r="AR93" s="76"/>
      <c r="AS93" s="76"/>
    </row>
    <row r="94" spans="1:45">
      <c r="A94" s="76"/>
      <c r="B94" s="76"/>
      <c r="C94" s="77"/>
      <c r="D94" s="77"/>
      <c r="E94" s="76"/>
      <c r="H94" s="76"/>
      <c r="I94" s="83"/>
      <c r="J94" s="68"/>
      <c r="K94" s="72"/>
      <c r="L94" s="61"/>
      <c r="M94" s="58"/>
      <c r="N94" s="79"/>
      <c r="O94" s="77"/>
      <c r="P94" s="76"/>
      <c r="Q94" s="76"/>
      <c r="R94" s="76"/>
      <c r="S94" s="80"/>
      <c r="T94" s="76"/>
      <c r="U94" s="76"/>
      <c r="V94" s="76"/>
      <c r="W94" s="76"/>
      <c r="X94" s="76"/>
      <c r="Y94" s="80"/>
      <c r="Z94" s="76"/>
      <c r="AA94" s="76"/>
      <c r="AB94" s="76"/>
      <c r="AC94" s="76"/>
      <c r="AD94" s="76"/>
      <c r="AE94" s="80"/>
      <c r="AF94" s="76"/>
      <c r="AG94" s="76"/>
      <c r="AH94" s="76"/>
      <c r="AI94" s="76"/>
      <c r="AJ94" s="76"/>
      <c r="AK94" s="76"/>
      <c r="AL94" s="76"/>
      <c r="AM94" s="76"/>
      <c r="AN94" s="76"/>
      <c r="AO94" s="76"/>
      <c r="AP94" s="76"/>
      <c r="AQ94" s="76"/>
      <c r="AR94" s="76"/>
      <c r="AS94" s="76"/>
    </row>
    <row r="95" spans="1:45">
      <c r="A95" s="76"/>
      <c r="B95" s="76"/>
      <c r="C95" s="77"/>
      <c r="D95" s="77"/>
      <c r="E95" s="76"/>
      <c r="H95" s="76"/>
      <c r="I95" s="59"/>
      <c r="J95" s="58"/>
      <c r="K95" s="58"/>
      <c r="L95" s="58"/>
      <c r="M95" s="58"/>
      <c r="N95" s="79"/>
      <c r="O95" s="77"/>
      <c r="P95" s="76"/>
      <c r="Q95" s="76"/>
      <c r="R95" s="76"/>
      <c r="S95" s="80"/>
      <c r="T95" s="76"/>
      <c r="U95" s="76"/>
      <c r="V95" s="76"/>
      <c r="W95" s="76"/>
      <c r="X95" s="76"/>
      <c r="Y95" s="80"/>
      <c r="Z95" s="76"/>
      <c r="AA95" s="76"/>
      <c r="AB95" s="76"/>
      <c r="AC95" s="76"/>
      <c r="AD95" s="76"/>
      <c r="AE95" s="80"/>
      <c r="AF95" s="76"/>
      <c r="AG95" s="76"/>
      <c r="AH95" s="76"/>
      <c r="AI95" s="76"/>
      <c r="AJ95" s="76"/>
      <c r="AK95" s="76"/>
      <c r="AL95" s="76"/>
      <c r="AM95" s="76"/>
      <c r="AN95" s="76"/>
      <c r="AO95" s="76"/>
      <c r="AP95" s="76"/>
      <c r="AQ95" s="76"/>
      <c r="AR95" s="76"/>
      <c r="AS95" s="76"/>
    </row>
    <row r="96" spans="1:45">
      <c r="A96" s="76"/>
      <c r="B96" s="76"/>
      <c r="C96" s="77"/>
      <c r="D96" s="77"/>
      <c r="E96" s="76"/>
      <c r="H96" s="76"/>
      <c r="I96" s="59"/>
      <c r="J96" s="58"/>
      <c r="K96" s="58"/>
      <c r="L96" s="58"/>
      <c r="M96" s="58"/>
      <c r="N96" s="79"/>
      <c r="O96" s="77"/>
      <c r="P96" s="76"/>
      <c r="Q96" s="76"/>
      <c r="R96" s="76"/>
      <c r="S96" s="80"/>
      <c r="T96" s="76"/>
      <c r="U96" s="76"/>
      <c r="V96" s="76"/>
      <c r="W96" s="76"/>
      <c r="X96" s="76"/>
      <c r="Y96" s="80"/>
      <c r="Z96" s="76"/>
      <c r="AA96" s="76"/>
      <c r="AB96" s="76"/>
      <c r="AC96" s="76"/>
      <c r="AD96" s="76"/>
      <c r="AE96" s="80"/>
      <c r="AF96" s="76"/>
      <c r="AG96" s="76"/>
      <c r="AH96" s="76"/>
      <c r="AI96" s="76"/>
      <c r="AJ96" s="76"/>
      <c r="AK96" s="76"/>
      <c r="AL96" s="76"/>
      <c r="AM96" s="76"/>
      <c r="AN96" s="76"/>
      <c r="AO96" s="76"/>
      <c r="AP96" s="76"/>
      <c r="AQ96" s="76"/>
      <c r="AR96" s="76"/>
      <c r="AS96" s="76"/>
    </row>
    <row r="97" spans="1:45">
      <c r="A97" s="76"/>
      <c r="B97" s="76"/>
      <c r="C97" s="77"/>
      <c r="D97" s="77"/>
      <c r="E97" s="76"/>
      <c r="H97" s="76"/>
      <c r="I97" s="59"/>
      <c r="J97" s="58"/>
      <c r="K97" s="58"/>
      <c r="L97" s="58"/>
      <c r="M97" s="58"/>
      <c r="N97" s="79"/>
      <c r="O97" s="77"/>
      <c r="P97" s="76"/>
      <c r="Q97" s="76"/>
      <c r="R97" s="76"/>
      <c r="S97" s="80"/>
      <c r="T97" s="76"/>
      <c r="U97" s="76"/>
      <c r="V97" s="76"/>
      <c r="W97" s="76"/>
      <c r="X97" s="76"/>
      <c r="Y97" s="80"/>
      <c r="Z97" s="76"/>
      <c r="AA97" s="76"/>
      <c r="AB97" s="76"/>
      <c r="AC97" s="76"/>
      <c r="AD97" s="76"/>
      <c r="AE97" s="80"/>
      <c r="AF97" s="76"/>
      <c r="AG97" s="76"/>
      <c r="AH97" s="76"/>
      <c r="AI97" s="76"/>
      <c r="AJ97" s="76"/>
      <c r="AK97" s="76"/>
      <c r="AL97" s="76"/>
      <c r="AM97" s="76"/>
      <c r="AN97" s="76"/>
      <c r="AO97" s="76"/>
      <c r="AP97" s="76"/>
      <c r="AQ97" s="76"/>
      <c r="AR97" s="76"/>
      <c r="AS97" s="76"/>
    </row>
    <row r="98" spans="1:45">
      <c r="A98" s="76"/>
      <c r="B98" s="76"/>
      <c r="C98" s="77"/>
      <c r="D98" s="77"/>
      <c r="E98" s="76"/>
      <c r="H98" s="76"/>
      <c r="I98" s="59"/>
      <c r="J98" s="58"/>
      <c r="K98" s="58"/>
      <c r="L98" s="58"/>
      <c r="M98" s="58"/>
      <c r="N98" s="79"/>
      <c r="O98" s="77"/>
      <c r="P98" s="76"/>
      <c r="Q98" s="76"/>
      <c r="R98" s="76"/>
      <c r="S98" s="80"/>
      <c r="T98" s="76"/>
      <c r="U98" s="76"/>
      <c r="V98" s="76"/>
      <c r="W98" s="76"/>
      <c r="X98" s="76"/>
      <c r="Y98" s="80"/>
      <c r="Z98" s="76"/>
      <c r="AA98" s="76"/>
      <c r="AB98" s="76"/>
      <c r="AC98" s="76"/>
      <c r="AD98" s="76"/>
      <c r="AE98" s="80"/>
      <c r="AF98" s="76"/>
      <c r="AG98" s="76"/>
      <c r="AH98" s="76"/>
      <c r="AI98" s="76"/>
      <c r="AJ98" s="76"/>
      <c r="AK98" s="76"/>
      <c r="AL98" s="76"/>
      <c r="AM98" s="76"/>
      <c r="AN98" s="76"/>
      <c r="AO98" s="76"/>
      <c r="AP98" s="76"/>
      <c r="AQ98" s="76"/>
      <c r="AR98" s="76"/>
      <c r="AS98" s="76"/>
    </row>
    <row r="99" spans="1:45">
      <c r="A99" s="76"/>
      <c r="B99" s="76"/>
      <c r="C99" s="77"/>
      <c r="D99" s="77"/>
      <c r="E99" s="76"/>
      <c r="H99" s="76"/>
      <c r="I99" s="59"/>
      <c r="J99" s="58"/>
      <c r="K99" s="58"/>
      <c r="L99" s="58"/>
      <c r="M99" s="58"/>
      <c r="N99" s="79"/>
      <c r="O99" s="77"/>
      <c r="P99" s="76"/>
      <c r="Q99" s="76"/>
      <c r="R99" s="76"/>
      <c r="S99" s="80"/>
      <c r="T99" s="76"/>
      <c r="U99" s="76"/>
      <c r="V99" s="76"/>
      <c r="W99" s="76"/>
      <c r="X99" s="76"/>
      <c r="Y99" s="80"/>
      <c r="Z99" s="76"/>
      <c r="AA99" s="76"/>
      <c r="AB99" s="76"/>
      <c r="AC99" s="76"/>
      <c r="AD99" s="76"/>
      <c r="AE99" s="80"/>
      <c r="AF99" s="76"/>
      <c r="AG99" s="76"/>
      <c r="AH99" s="76"/>
      <c r="AI99" s="76"/>
      <c r="AJ99" s="76"/>
      <c r="AK99" s="76"/>
      <c r="AL99" s="76"/>
      <c r="AM99" s="76"/>
      <c r="AN99" s="76"/>
      <c r="AO99" s="76"/>
      <c r="AP99" s="76"/>
      <c r="AQ99" s="76"/>
      <c r="AR99" s="76"/>
      <c r="AS99" s="76"/>
    </row>
    <row r="100" spans="1:45">
      <c r="A100" s="76"/>
      <c r="B100" s="76"/>
      <c r="C100" s="77"/>
      <c r="D100" s="77"/>
      <c r="E100" s="76"/>
      <c r="H100" s="76"/>
      <c r="I100" s="59"/>
      <c r="J100" s="58"/>
      <c r="K100" s="58"/>
      <c r="L100" s="58"/>
      <c r="M100" s="58"/>
      <c r="N100" s="79"/>
      <c r="O100" s="77"/>
      <c r="P100" s="76"/>
      <c r="Q100" s="76"/>
      <c r="R100" s="76"/>
      <c r="S100" s="80"/>
      <c r="T100" s="76"/>
      <c r="U100" s="76"/>
      <c r="V100" s="76"/>
      <c r="W100" s="76"/>
      <c r="X100" s="76"/>
      <c r="Y100" s="80"/>
      <c r="Z100" s="76"/>
      <c r="AA100" s="76"/>
      <c r="AB100" s="76"/>
      <c r="AC100" s="76"/>
      <c r="AD100" s="76"/>
      <c r="AE100" s="80"/>
      <c r="AF100" s="76"/>
      <c r="AG100" s="76"/>
      <c r="AH100" s="76"/>
      <c r="AI100" s="76"/>
      <c r="AJ100" s="76"/>
      <c r="AK100" s="76"/>
      <c r="AL100" s="76"/>
      <c r="AM100" s="76"/>
      <c r="AN100" s="76"/>
      <c r="AO100" s="76"/>
      <c r="AP100" s="76"/>
      <c r="AQ100" s="76"/>
      <c r="AR100" s="76"/>
      <c r="AS100" s="76"/>
    </row>
    <row r="101" spans="1:45">
      <c r="A101" s="76"/>
      <c r="B101" s="76"/>
      <c r="C101" s="77"/>
      <c r="D101" s="77"/>
      <c r="E101" s="76"/>
      <c r="H101" s="76"/>
      <c r="I101" s="59"/>
      <c r="J101" s="58"/>
      <c r="K101" s="58"/>
      <c r="L101" s="58"/>
      <c r="M101" s="58"/>
      <c r="N101" s="79"/>
      <c r="O101" s="77"/>
      <c r="P101" s="76"/>
      <c r="Q101" s="76"/>
      <c r="R101" s="76"/>
      <c r="S101" s="80"/>
      <c r="T101" s="76"/>
      <c r="U101" s="76"/>
      <c r="V101" s="76"/>
      <c r="W101" s="76"/>
      <c r="X101" s="76"/>
      <c r="Y101" s="80"/>
      <c r="Z101" s="76"/>
      <c r="AA101" s="76"/>
      <c r="AB101" s="76"/>
      <c r="AC101" s="76"/>
      <c r="AD101" s="76"/>
      <c r="AE101" s="80"/>
      <c r="AF101" s="76"/>
      <c r="AG101" s="76"/>
      <c r="AH101" s="76"/>
      <c r="AI101" s="76"/>
      <c r="AJ101" s="76"/>
      <c r="AK101" s="76"/>
      <c r="AL101" s="76"/>
      <c r="AM101" s="76"/>
      <c r="AN101" s="76"/>
      <c r="AO101" s="76"/>
      <c r="AP101" s="76"/>
      <c r="AQ101" s="76"/>
      <c r="AR101" s="76"/>
      <c r="AS101" s="76"/>
    </row>
    <row r="102" spans="1:45">
      <c r="A102" s="76"/>
      <c r="B102" s="76"/>
      <c r="C102" s="77"/>
      <c r="D102" s="77"/>
      <c r="E102" s="76"/>
      <c r="H102" s="76"/>
      <c r="I102" s="59"/>
      <c r="J102" s="58"/>
      <c r="K102" s="58"/>
      <c r="L102" s="58"/>
      <c r="M102" s="58"/>
      <c r="N102" s="79"/>
      <c r="O102" s="77"/>
      <c r="P102" s="76"/>
      <c r="Q102" s="76"/>
      <c r="R102" s="76"/>
      <c r="S102" s="80"/>
      <c r="T102" s="76"/>
      <c r="U102" s="76"/>
      <c r="V102" s="76"/>
      <c r="W102" s="76"/>
      <c r="X102" s="76"/>
      <c r="Y102" s="80"/>
      <c r="Z102" s="76"/>
      <c r="AA102" s="76"/>
      <c r="AB102" s="76"/>
      <c r="AC102" s="76"/>
      <c r="AD102" s="76"/>
      <c r="AE102" s="80"/>
      <c r="AF102" s="76"/>
      <c r="AG102" s="76"/>
      <c r="AH102" s="76"/>
      <c r="AI102" s="76"/>
      <c r="AJ102" s="76"/>
      <c r="AK102" s="76"/>
      <c r="AL102" s="76"/>
      <c r="AM102" s="76"/>
      <c r="AN102" s="76"/>
      <c r="AO102" s="76"/>
      <c r="AP102" s="76"/>
      <c r="AQ102" s="76"/>
      <c r="AR102" s="76"/>
      <c r="AS102" s="76"/>
    </row>
    <row r="103" spans="1:45">
      <c r="A103" s="76"/>
      <c r="B103" s="76"/>
      <c r="C103" s="77"/>
      <c r="D103" s="77"/>
      <c r="E103" s="76"/>
      <c r="H103" s="76"/>
      <c r="I103" s="59"/>
      <c r="J103" s="58"/>
      <c r="K103" s="58"/>
      <c r="L103" s="58"/>
      <c r="M103" s="58"/>
      <c r="N103" s="79"/>
      <c r="O103" s="77"/>
      <c r="P103" s="76"/>
      <c r="Q103" s="76"/>
      <c r="R103" s="76"/>
      <c r="S103" s="80"/>
      <c r="T103" s="76"/>
      <c r="U103" s="76"/>
      <c r="V103" s="76"/>
      <c r="W103" s="76"/>
      <c r="X103" s="76"/>
      <c r="Y103" s="80"/>
      <c r="Z103" s="76"/>
      <c r="AA103" s="76"/>
      <c r="AB103" s="76"/>
      <c r="AC103" s="76"/>
      <c r="AD103" s="76"/>
      <c r="AE103" s="80"/>
      <c r="AF103" s="76"/>
      <c r="AG103" s="76"/>
      <c r="AH103" s="76"/>
      <c r="AI103" s="76"/>
      <c r="AJ103" s="76"/>
      <c r="AK103" s="76"/>
      <c r="AL103" s="76"/>
      <c r="AM103" s="76"/>
      <c r="AN103" s="76"/>
      <c r="AO103" s="76"/>
      <c r="AP103" s="76"/>
      <c r="AQ103" s="76"/>
      <c r="AR103" s="76"/>
      <c r="AS103" s="76"/>
    </row>
    <row r="104" spans="1:45">
      <c r="A104" s="76"/>
      <c r="B104" s="76"/>
      <c r="C104" s="77"/>
      <c r="D104" s="77"/>
      <c r="E104" s="76"/>
      <c r="H104" s="76"/>
      <c r="I104" s="59"/>
      <c r="J104" s="58"/>
      <c r="K104" s="58"/>
      <c r="L104" s="58"/>
      <c r="M104" s="58"/>
      <c r="N104" s="79"/>
      <c r="O104" s="77"/>
      <c r="P104" s="76"/>
      <c r="Q104" s="76"/>
      <c r="R104" s="76"/>
      <c r="S104" s="80"/>
      <c r="T104" s="76"/>
      <c r="U104" s="76"/>
      <c r="V104" s="76"/>
      <c r="W104" s="76"/>
      <c r="X104" s="76"/>
      <c r="Y104" s="80"/>
      <c r="Z104" s="76"/>
      <c r="AA104" s="76"/>
      <c r="AB104" s="76"/>
      <c r="AC104" s="76"/>
      <c r="AD104" s="76"/>
      <c r="AE104" s="80"/>
      <c r="AF104" s="76"/>
      <c r="AG104" s="76"/>
      <c r="AH104" s="76"/>
      <c r="AI104" s="76"/>
      <c r="AJ104" s="76"/>
      <c r="AK104" s="76"/>
      <c r="AL104" s="76"/>
      <c r="AM104" s="76"/>
      <c r="AN104" s="76"/>
      <c r="AO104" s="76"/>
      <c r="AP104" s="76"/>
      <c r="AQ104" s="76"/>
      <c r="AR104" s="76"/>
      <c r="AS104" s="76"/>
    </row>
    <row r="105" spans="1:45">
      <c r="A105" s="76"/>
      <c r="B105" s="76"/>
      <c r="C105" s="77"/>
      <c r="D105" s="77"/>
      <c r="E105" s="76"/>
      <c r="H105" s="76"/>
      <c r="I105" s="59"/>
      <c r="J105" s="58"/>
      <c r="K105" s="58"/>
      <c r="L105" s="58"/>
      <c r="M105" s="58"/>
      <c r="N105" s="79"/>
      <c r="O105" s="77"/>
      <c r="P105" s="76"/>
      <c r="Q105" s="76"/>
      <c r="R105" s="76"/>
      <c r="S105" s="80"/>
      <c r="T105" s="76"/>
      <c r="U105" s="76"/>
      <c r="V105" s="76"/>
      <c r="W105" s="76"/>
      <c r="X105" s="76"/>
      <c r="Y105" s="80"/>
      <c r="Z105" s="76"/>
      <c r="AA105" s="76"/>
      <c r="AB105" s="76"/>
      <c r="AC105" s="76"/>
      <c r="AD105" s="76"/>
      <c r="AE105" s="80"/>
      <c r="AF105" s="76"/>
      <c r="AG105" s="76"/>
      <c r="AH105" s="76"/>
      <c r="AI105" s="76"/>
      <c r="AJ105" s="76"/>
      <c r="AK105" s="76"/>
      <c r="AL105" s="76"/>
      <c r="AM105" s="76"/>
      <c r="AN105" s="76"/>
      <c r="AO105" s="76"/>
      <c r="AP105" s="76"/>
      <c r="AQ105" s="76"/>
      <c r="AR105" s="76"/>
      <c r="AS105" s="76"/>
    </row>
    <row r="106" spans="1:45">
      <c r="A106" s="76"/>
      <c r="B106" s="76"/>
      <c r="C106" s="77"/>
      <c r="D106" s="77"/>
      <c r="E106" s="76"/>
      <c r="H106" s="76"/>
      <c r="I106" s="59"/>
      <c r="J106" s="58"/>
      <c r="K106" s="58"/>
      <c r="L106" s="58"/>
      <c r="M106" s="58"/>
      <c r="N106" s="79"/>
      <c r="O106" s="77"/>
      <c r="P106" s="76"/>
      <c r="Q106" s="76"/>
      <c r="R106" s="76"/>
      <c r="S106" s="80"/>
      <c r="T106" s="76"/>
      <c r="U106" s="76"/>
      <c r="V106" s="76"/>
      <c r="W106" s="76"/>
      <c r="X106" s="76"/>
      <c r="Y106" s="80"/>
      <c r="Z106" s="76"/>
      <c r="AA106" s="76"/>
      <c r="AB106" s="76"/>
      <c r="AC106" s="76"/>
      <c r="AD106" s="76"/>
      <c r="AE106" s="80"/>
      <c r="AF106" s="76"/>
      <c r="AG106" s="76"/>
      <c r="AH106" s="76"/>
      <c r="AI106" s="76"/>
      <c r="AJ106" s="76"/>
      <c r="AK106" s="76"/>
      <c r="AL106" s="76"/>
      <c r="AM106" s="76"/>
      <c r="AN106" s="76"/>
      <c r="AO106" s="76"/>
      <c r="AP106" s="76"/>
      <c r="AQ106" s="76"/>
      <c r="AR106" s="76"/>
      <c r="AS106" s="76"/>
    </row>
    <row r="107" spans="1:45">
      <c r="A107" s="76"/>
      <c r="B107" s="76"/>
      <c r="C107" s="77"/>
      <c r="D107" s="77"/>
      <c r="E107" s="76"/>
      <c r="H107" s="76"/>
      <c r="I107" s="59"/>
      <c r="J107" s="58"/>
      <c r="K107" s="58"/>
      <c r="L107" s="58"/>
      <c r="M107" s="58"/>
      <c r="N107" s="79"/>
      <c r="O107" s="77"/>
      <c r="P107" s="76"/>
      <c r="Q107" s="76"/>
      <c r="R107" s="76"/>
      <c r="S107" s="80"/>
      <c r="T107" s="76"/>
      <c r="U107" s="76"/>
      <c r="V107" s="76"/>
      <c r="W107" s="76"/>
      <c r="X107" s="76"/>
      <c r="Y107" s="80"/>
      <c r="Z107" s="76"/>
      <c r="AA107" s="76"/>
      <c r="AB107" s="76"/>
      <c r="AC107" s="76"/>
      <c r="AD107" s="76"/>
      <c r="AE107" s="80"/>
      <c r="AF107" s="76"/>
      <c r="AG107" s="76"/>
      <c r="AH107" s="76"/>
      <c r="AI107" s="76"/>
      <c r="AJ107" s="76"/>
      <c r="AK107" s="76"/>
      <c r="AL107" s="76"/>
      <c r="AM107" s="76"/>
      <c r="AN107" s="76"/>
      <c r="AO107" s="76"/>
      <c r="AP107" s="76"/>
      <c r="AQ107" s="76"/>
      <c r="AR107" s="76"/>
      <c r="AS107" s="76"/>
    </row>
    <row r="108" spans="1:45">
      <c r="A108" s="76"/>
      <c r="B108" s="76"/>
      <c r="C108" s="77"/>
      <c r="D108" s="77"/>
      <c r="E108" s="76"/>
      <c r="H108" s="76"/>
      <c r="I108" s="59"/>
      <c r="J108" s="58"/>
      <c r="K108" s="58"/>
      <c r="L108" s="58"/>
      <c r="M108" s="58"/>
      <c r="N108" s="79"/>
      <c r="O108" s="77"/>
      <c r="P108" s="76"/>
      <c r="Q108" s="76"/>
      <c r="R108" s="76"/>
      <c r="S108" s="80"/>
      <c r="T108" s="76"/>
      <c r="U108" s="76"/>
      <c r="V108" s="76"/>
      <c r="W108" s="76"/>
      <c r="X108" s="76"/>
      <c r="Y108" s="80"/>
      <c r="Z108" s="76"/>
      <c r="AA108" s="76"/>
      <c r="AB108" s="76"/>
      <c r="AC108" s="76"/>
      <c r="AD108" s="76"/>
      <c r="AE108" s="80"/>
      <c r="AF108" s="76"/>
      <c r="AG108" s="76"/>
      <c r="AH108" s="76"/>
      <c r="AI108" s="76"/>
      <c r="AJ108" s="76"/>
      <c r="AK108" s="76"/>
      <c r="AL108" s="76"/>
      <c r="AM108" s="76"/>
      <c r="AN108" s="76"/>
      <c r="AO108" s="76"/>
      <c r="AP108" s="76"/>
      <c r="AQ108" s="76"/>
      <c r="AR108" s="76"/>
      <c r="AS108" s="76"/>
    </row>
    <row r="109" spans="1:45">
      <c r="A109" s="76"/>
      <c r="B109" s="76"/>
      <c r="C109" s="77"/>
      <c r="D109" s="77"/>
      <c r="E109" s="76"/>
      <c r="H109" s="76"/>
      <c r="I109" s="59"/>
      <c r="J109" s="58"/>
      <c r="K109" s="58"/>
      <c r="L109" s="58"/>
      <c r="M109" s="58"/>
      <c r="N109" s="79"/>
      <c r="O109" s="77"/>
      <c r="P109" s="76"/>
      <c r="Q109" s="76"/>
      <c r="R109" s="76"/>
      <c r="S109" s="80"/>
      <c r="T109" s="76"/>
      <c r="U109" s="76"/>
      <c r="V109" s="76"/>
      <c r="W109" s="76"/>
      <c r="X109" s="76"/>
      <c r="Y109" s="80"/>
      <c r="Z109" s="76"/>
      <c r="AA109" s="76"/>
      <c r="AB109" s="76"/>
      <c r="AC109" s="76"/>
      <c r="AD109" s="76"/>
      <c r="AE109" s="80"/>
      <c r="AF109" s="76"/>
      <c r="AG109" s="76"/>
      <c r="AH109" s="76"/>
      <c r="AI109" s="76"/>
      <c r="AJ109" s="76"/>
      <c r="AK109" s="76"/>
      <c r="AL109" s="76"/>
      <c r="AM109" s="76"/>
      <c r="AN109" s="76"/>
      <c r="AO109" s="76"/>
      <c r="AP109" s="76"/>
      <c r="AQ109" s="76"/>
      <c r="AR109" s="76"/>
      <c r="AS109" s="76"/>
    </row>
    <row r="110" spans="1:45">
      <c r="A110" s="76"/>
      <c r="B110" s="76"/>
      <c r="C110" s="77"/>
      <c r="D110" s="77"/>
      <c r="E110" s="76"/>
      <c r="H110" s="76"/>
      <c r="I110" s="59"/>
      <c r="J110" s="58"/>
      <c r="K110" s="58"/>
      <c r="L110" s="58"/>
      <c r="M110" s="58"/>
      <c r="N110" s="79"/>
      <c r="O110" s="77"/>
      <c r="P110" s="76"/>
      <c r="Q110" s="76"/>
      <c r="R110" s="76"/>
      <c r="S110" s="80"/>
      <c r="T110" s="76"/>
      <c r="U110" s="76"/>
      <c r="V110" s="76"/>
      <c r="W110" s="76"/>
      <c r="X110" s="76"/>
      <c r="Y110" s="80"/>
      <c r="Z110" s="76"/>
      <c r="AA110" s="76"/>
      <c r="AB110" s="76"/>
      <c r="AC110" s="76"/>
      <c r="AD110" s="76"/>
      <c r="AE110" s="80"/>
      <c r="AF110" s="76"/>
      <c r="AG110" s="76"/>
      <c r="AH110" s="76"/>
      <c r="AI110" s="76"/>
      <c r="AJ110" s="76"/>
      <c r="AK110" s="76"/>
      <c r="AL110" s="76"/>
      <c r="AM110" s="76"/>
      <c r="AN110" s="76"/>
      <c r="AO110" s="76"/>
      <c r="AP110" s="76"/>
      <c r="AQ110" s="76"/>
      <c r="AR110" s="76"/>
      <c r="AS110" s="76"/>
    </row>
    <row r="111" spans="1:45">
      <c r="A111" s="76"/>
      <c r="B111" s="76"/>
      <c r="C111" s="77"/>
      <c r="D111" s="77"/>
      <c r="E111" s="76"/>
      <c r="H111" s="76"/>
      <c r="I111" s="59"/>
      <c r="J111" s="58"/>
      <c r="K111" s="58"/>
      <c r="L111" s="58"/>
      <c r="M111" s="58"/>
      <c r="N111" s="79"/>
      <c r="O111" s="77"/>
      <c r="P111" s="76"/>
      <c r="Q111" s="76"/>
      <c r="R111" s="76"/>
      <c r="S111" s="80"/>
      <c r="T111" s="76"/>
      <c r="U111" s="76"/>
      <c r="V111" s="76"/>
      <c r="W111" s="76"/>
      <c r="X111" s="76"/>
      <c r="Y111" s="80"/>
      <c r="Z111" s="76"/>
      <c r="AA111" s="76"/>
      <c r="AB111" s="76"/>
      <c r="AC111" s="76"/>
      <c r="AD111" s="76"/>
      <c r="AE111" s="80"/>
      <c r="AF111" s="76"/>
      <c r="AG111" s="76"/>
      <c r="AH111" s="76"/>
      <c r="AI111" s="76"/>
      <c r="AJ111" s="76"/>
      <c r="AK111" s="76"/>
      <c r="AL111" s="76"/>
      <c r="AM111" s="76"/>
      <c r="AN111" s="76"/>
      <c r="AO111" s="76"/>
      <c r="AP111" s="76"/>
      <c r="AQ111" s="76"/>
      <c r="AR111" s="76"/>
      <c r="AS111" s="76"/>
    </row>
    <row r="112" spans="1:45">
      <c r="A112" s="76"/>
      <c r="B112" s="76"/>
      <c r="C112" s="77"/>
      <c r="D112" s="77"/>
      <c r="E112" s="76"/>
      <c r="H112" s="76"/>
      <c r="I112" s="59"/>
      <c r="J112" s="58"/>
      <c r="K112" s="58"/>
      <c r="L112" s="58"/>
      <c r="M112" s="58"/>
      <c r="N112" s="79"/>
      <c r="O112" s="77"/>
      <c r="P112" s="76"/>
      <c r="Q112" s="76"/>
      <c r="R112" s="76"/>
      <c r="S112" s="80"/>
      <c r="T112" s="76"/>
      <c r="U112" s="76"/>
      <c r="V112" s="76"/>
      <c r="W112" s="76"/>
      <c r="X112" s="76"/>
      <c r="Y112" s="80"/>
      <c r="Z112" s="76"/>
      <c r="AA112" s="76"/>
      <c r="AB112" s="76"/>
      <c r="AC112" s="76"/>
      <c r="AD112" s="76"/>
      <c r="AE112" s="80"/>
      <c r="AF112" s="76"/>
      <c r="AG112" s="76"/>
      <c r="AH112" s="76"/>
      <c r="AI112" s="76"/>
      <c r="AJ112" s="76"/>
      <c r="AK112" s="76"/>
      <c r="AL112" s="76"/>
      <c r="AM112" s="76"/>
      <c r="AN112" s="76"/>
      <c r="AO112" s="76"/>
      <c r="AP112" s="76"/>
      <c r="AQ112" s="76"/>
      <c r="AR112" s="76"/>
      <c r="AS112" s="76"/>
    </row>
    <row r="113" spans="1:45">
      <c r="A113" s="76"/>
      <c r="B113" s="76"/>
      <c r="C113" s="77"/>
      <c r="D113" s="77"/>
      <c r="E113" s="76"/>
      <c r="H113" s="76"/>
      <c r="I113" s="59"/>
      <c r="J113" s="58"/>
      <c r="K113" s="58"/>
      <c r="L113" s="58"/>
      <c r="M113" s="58"/>
      <c r="N113" s="79"/>
      <c r="O113" s="77"/>
      <c r="P113" s="76"/>
      <c r="Q113" s="76"/>
      <c r="R113" s="76"/>
      <c r="S113" s="80"/>
      <c r="T113" s="76"/>
      <c r="U113" s="76"/>
      <c r="V113" s="76"/>
      <c r="W113" s="76"/>
      <c r="X113" s="76"/>
      <c r="Y113" s="80"/>
      <c r="Z113" s="76"/>
      <c r="AA113" s="76"/>
      <c r="AB113" s="76"/>
      <c r="AC113" s="76"/>
      <c r="AD113" s="76"/>
      <c r="AE113" s="80"/>
      <c r="AF113" s="76"/>
      <c r="AG113" s="76"/>
      <c r="AH113" s="76"/>
      <c r="AI113" s="76"/>
      <c r="AJ113" s="76"/>
      <c r="AK113" s="76"/>
      <c r="AL113" s="76"/>
      <c r="AM113" s="76"/>
      <c r="AN113" s="76"/>
      <c r="AO113" s="76"/>
      <c r="AP113" s="76"/>
      <c r="AQ113" s="76"/>
      <c r="AR113" s="76"/>
      <c r="AS113" s="76"/>
    </row>
    <row r="114" spans="1:45">
      <c r="A114" s="76"/>
      <c r="B114" s="76"/>
      <c r="C114" s="77"/>
      <c r="D114" s="77"/>
      <c r="E114" s="76"/>
      <c r="H114" s="76"/>
      <c r="I114" s="59"/>
      <c r="J114" s="58"/>
      <c r="K114" s="58"/>
      <c r="L114" s="58"/>
      <c r="M114" s="58"/>
      <c r="N114" s="79"/>
      <c r="O114" s="77"/>
      <c r="P114" s="76"/>
      <c r="Q114" s="76"/>
      <c r="R114" s="76"/>
      <c r="S114" s="80"/>
      <c r="T114" s="76"/>
      <c r="U114" s="76"/>
      <c r="V114" s="76"/>
      <c r="W114" s="76"/>
      <c r="X114" s="76"/>
      <c r="Y114" s="80"/>
      <c r="Z114" s="76"/>
      <c r="AA114" s="76"/>
      <c r="AB114" s="76"/>
      <c r="AC114" s="76"/>
      <c r="AD114" s="76"/>
      <c r="AE114" s="80"/>
      <c r="AF114" s="76"/>
      <c r="AG114" s="76"/>
      <c r="AH114" s="76"/>
      <c r="AI114" s="76"/>
      <c r="AJ114" s="76"/>
      <c r="AK114" s="76"/>
      <c r="AL114" s="76"/>
      <c r="AM114" s="76"/>
      <c r="AN114" s="76"/>
      <c r="AO114" s="76"/>
      <c r="AP114" s="76"/>
      <c r="AQ114" s="76"/>
      <c r="AR114" s="76"/>
      <c r="AS114" s="76"/>
    </row>
    <row r="115" spans="1:45">
      <c r="A115" s="76"/>
      <c r="B115" s="76"/>
      <c r="C115" s="77"/>
      <c r="D115" s="77"/>
      <c r="E115" s="76"/>
      <c r="H115" s="76"/>
      <c r="I115" s="59"/>
      <c r="J115" s="58"/>
      <c r="K115" s="58"/>
      <c r="L115" s="58"/>
      <c r="M115" s="58"/>
      <c r="N115" s="79"/>
      <c r="O115" s="77"/>
      <c r="P115" s="76"/>
      <c r="Q115" s="76"/>
      <c r="R115" s="76"/>
      <c r="S115" s="80"/>
      <c r="T115" s="76"/>
      <c r="U115" s="76"/>
      <c r="V115" s="76"/>
      <c r="W115" s="76"/>
      <c r="X115" s="76"/>
      <c r="Y115" s="80"/>
      <c r="Z115" s="76"/>
      <c r="AA115" s="76"/>
      <c r="AB115" s="76"/>
      <c r="AC115" s="76"/>
      <c r="AD115" s="76"/>
      <c r="AE115" s="80"/>
      <c r="AF115" s="76"/>
      <c r="AG115" s="76"/>
      <c r="AH115" s="76"/>
      <c r="AI115" s="76"/>
      <c r="AJ115" s="76"/>
      <c r="AK115" s="76"/>
      <c r="AL115" s="76"/>
      <c r="AM115" s="76"/>
      <c r="AN115" s="76"/>
      <c r="AO115" s="76"/>
      <c r="AP115" s="76"/>
      <c r="AQ115" s="76"/>
      <c r="AR115" s="76"/>
      <c r="AS115" s="76"/>
    </row>
    <row r="116" spans="1:45">
      <c r="A116" s="76"/>
      <c r="B116" s="76"/>
      <c r="C116" s="77"/>
      <c r="D116" s="77"/>
      <c r="E116" s="76"/>
      <c r="H116" s="76"/>
      <c r="I116" s="59"/>
      <c r="J116" s="58"/>
      <c r="K116" s="58"/>
      <c r="L116" s="58"/>
      <c r="M116" s="58"/>
      <c r="N116" s="79"/>
      <c r="O116" s="77"/>
      <c r="P116" s="76"/>
      <c r="Q116" s="76"/>
      <c r="R116" s="76"/>
      <c r="S116" s="80"/>
      <c r="T116" s="76"/>
      <c r="U116" s="76"/>
      <c r="V116" s="76"/>
      <c r="W116" s="76"/>
      <c r="X116" s="76"/>
      <c r="Y116" s="80"/>
      <c r="Z116" s="76"/>
      <c r="AA116" s="76"/>
      <c r="AB116" s="76"/>
      <c r="AC116" s="76"/>
      <c r="AD116" s="76"/>
      <c r="AE116" s="80"/>
      <c r="AF116" s="76"/>
      <c r="AG116" s="76"/>
      <c r="AH116" s="76"/>
      <c r="AI116" s="76"/>
      <c r="AJ116" s="76"/>
      <c r="AK116" s="76"/>
      <c r="AL116" s="76"/>
      <c r="AM116" s="76"/>
      <c r="AN116" s="76"/>
      <c r="AO116" s="76"/>
      <c r="AP116" s="76"/>
      <c r="AQ116" s="76"/>
      <c r="AR116" s="76"/>
      <c r="AS116" s="76"/>
    </row>
    <row r="117" spans="1:45">
      <c r="A117" s="76"/>
      <c r="B117" s="76"/>
      <c r="C117" s="77"/>
      <c r="D117" s="77"/>
      <c r="E117" s="76"/>
      <c r="H117" s="76"/>
      <c r="I117" s="59"/>
      <c r="J117" s="58"/>
      <c r="K117" s="58"/>
      <c r="L117" s="58"/>
      <c r="M117" s="58"/>
      <c r="N117" s="79"/>
      <c r="O117" s="77"/>
      <c r="P117" s="76"/>
      <c r="Q117" s="76"/>
      <c r="R117" s="76"/>
      <c r="S117" s="80"/>
      <c r="T117" s="76"/>
      <c r="U117" s="76"/>
      <c r="V117" s="76"/>
      <c r="W117" s="76"/>
      <c r="X117" s="76"/>
      <c r="Y117" s="80"/>
      <c r="Z117" s="76"/>
      <c r="AA117" s="76"/>
      <c r="AB117" s="76"/>
      <c r="AC117" s="76"/>
      <c r="AD117" s="76"/>
      <c r="AE117" s="80"/>
      <c r="AF117" s="76"/>
      <c r="AG117" s="76"/>
      <c r="AH117" s="76"/>
      <c r="AI117" s="76"/>
      <c r="AJ117" s="76"/>
      <c r="AK117" s="76"/>
      <c r="AL117" s="76"/>
      <c r="AM117" s="76"/>
      <c r="AN117" s="76"/>
      <c r="AO117" s="76"/>
      <c r="AP117" s="76"/>
      <c r="AQ117" s="76"/>
      <c r="AR117" s="76"/>
      <c r="AS117" s="76"/>
    </row>
    <row r="118" spans="1:45">
      <c r="A118" s="76"/>
      <c r="B118" s="76"/>
      <c r="C118" s="77"/>
      <c r="D118" s="77"/>
      <c r="E118" s="76"/>
      <c r="H118" s="76"/>
      <c r="I118" s="59"/>
      <c r="J118" s="58"/>
      <c r="K118" s="58"/>
      <c r="L118" s="58"/>
      <c r="M118" s="58"/>
      <c r="N118" s="79"/>
      <c r="O118" s="77"/>
      <c r="P118" s="76"/>
      <c r="Q118" s="76"/>
      <c r="R118" s="76"/>
      <c r="S118" s="80"/>
      <c r="T118" s="76"/>
      <c r="U118" s="76"/>
      <c r="V118" s="76"/>
      <c r="W118" s="76"/>
      <c r="X118" s="76"/>
      <c r="Y118" s="80"/>
      <c r="Z118" s="76"/>
      <c r="AA118" s="76"/>
      <c r="AB118" s="76"/>
      <c r="AC118" s="76"/>
      <c r="AD118" s="76"/>
      <c r="AE118" s="80"/>
      <c r="AF118" s="76"/>
      <c r="AG118" s="76"/>
      <c r="AH118" s="76"/>
      <c r="AI118" s="76"/>
      <c r="AJ118" s="76"/>
      <c r="AK118" s="76"/>
      <c r="AL118" s="76"/>
      <c r="AM118" s="76"/>
      <c r="AN118" s="76"/>
      <c r="AO118" s="76"/>
      <c r="AP118" s="76"/>
      <c r="AQ118" s="76"/>
      <c r="AR118" s="76"/>
      <c r="AS118" s="76"/>
    </row>
    <row r="119" spans="1:45">
      <c r="A119" s="76"/>
      <c r="B119" s="76"/>
      <c r="C119" s="77"/>
      <c r="D119" s="77"/>
      <c r="E119" s="76"/>
      <c r="H119" s="76"/>
      <c r="I119" s="59"/>
      <c r="J119" s="58"/>
      <c r="K119" s="58"/>
      <c r="L119" s="58"/>
      <c r="M119" s="58"/>
      <c r="N119" s="79"/>
      <c r="O119" s="77"/>
      <c r="P119" s="76"/>
      <c r="Q119" s="76"/>
      <c r="R119" s="76"/>
      <c r="S119" s="80"/>
      <c r="T119" s="76"/>
      <c r="U119" s="76"/>
      <c r="V119" s="76"/>
      <c r="W119" s="76"/>
      <c r="X119" s="76"/>
      <c r="Y119" s="80"/>
      <c r="Z119" s="76"/>
      <c r="AA119" s="76"/>
      <c r="AB119" s="76"/>
      <c r="AC119" s="76"/>
      <c r="AD119" s="76"/>
      <c r="AE119" s="80"/>
      <c r="AF119" s="76"/>
      <c r="AG119" s="76"/>
      <c r="AH119" s="76"/>
      <c r="AI119" s="76"/>
      <c r="AJ119" s="76"/>
      <c r="AK119" s="76"/>
      <c r="AL119" s="76"/>
      <c r="AM119" s="76"/>
      <c r="AN119" s="76"/>
      <c r="AO119" s="76"/>
      <c r="AP119" s="76"/>
      <c r="AQ119" s="76"/>
      <c r="AR119" s="76"/>
      <c r="AS119" s="76"/>
    </row>
    <row r="120" spans="1:45">
      <c r="A120" s="76"/>
      <c r="B120" s="76"/>
      <c r="C120" s="77"/>
      <c r="D120" s="77"/>
      <c r="E120" s="76"/>
      <c r="H120" s="76"/>
      <c r="I120" s="59"/>
      <c r="J120" s="58"/>
      <c r="K120" s="58"/>
      <c r="L120" s="58"/>
      <c r="M120" s="58"/>
      <c r="N120" s="79"/>
      <c r="O120" s="77"/>
      <c r="P120" s="76"/>
      <c r="Q120" s="76"/>
      <c r="R120" s="76"/>
      <c r="S120" s="80"/>
      <c r="T120" s="76"/>
      <c r="U120" s="76"/>
      <c r="V120" s="76"/>
      <c r="W120" s="76"/>
      <c r="X120" s="76"/>
      <c r="Y120" s="80"/>
      <c r="Z120" s="76"/>
      <c r="AA120" s="76"/>
      <c r="AB120" s="76"/>
      <c r="AC120" s="76"/>
      <c r="AD120" s="76"/>
      <c r="AE120" s="80"/>
      <c r="AF120" s="76"/>
      <c r="AG120" s="76"/>
      <c r="AH120" s="76"/>
      <c r="AI120" s="76"/>
      <c r="AJ120" s="76"/>
      <c r="AK120" s="76"/>
      <c r="AL120" s="76"/>
      <c r="AM120" s="76"/>
      <c r="AN120" s="76"/>
      <c r="AO120" s="76"/>
      <c r="AP120" s="76"/>
      <c r="AQ120" s="76"/>
      <c r="AR120" s="76"/>
      <c r="AS120" s="76"/>
    </row>
    <row r="121" spans="1:45">
      <c r="I121" s="59"/>
      <c r="J121" s="58"/>
      <c r="K121" s="58"/>
      <c r="L121" s="58"/>
      <c r="M121" s="58"/>
      <c r="N121" s="79"/>
    </row>
    <row r="122" spans="1:45">
      <c r="I122" s="59"/>
      <c r="J122" s="58"/>
      <c r="K122" s="58"/>
      <c r="L122" s="58"/>
      <c r="M122" s="58"/>
      <c r="N122" s="79"/>
    </row>
    <row r="123" spans="1:45">
      <c r="I123" s="59"/>
      <c r="J123" s="58"/>
      <c r="K123" s="58"/>
      <c r="L123" s="58"/>
      <c r="M123" s="58"/>
      <c r="N123" s="80"/>
    </row>
    <row r="124" spans="1:45">
      <c r="I124" s="59"/>
      <c r="J124" s="58"/>
      <c r="K124" s="58"/>
      <c r="L124" s="58"/>
      <c r="M124" s="58"/>
      <c r="N124" s="80"/>
    </row>
    <row r="125" spans="1:45">
      <c r="I125" s="59"/>
      <c r="J125" s="58"/>
      <c r="K125" s="58"/>
      <c r="L125" s="58"/>
      <c r="M125" s="58"/>
      <c r="N125" s="80"/>
    </row>
    <row r="126" spans="1:45">
      <c r="I126" s="59"/>
      <c r="J126" s="58"/>
      <c r="K126" s="58"/>
      <c r="L126" s="58"/>
      <c r="M126" s="58"/>
      <c r="N126" s="80"/>
    </row>
    <row r="127" spans="1:45">
      <c r="I127" s="59"/>
      <c r="J127" s="58"/>
      <c r="K127" s="58"/>
      <c r="L127" s="58"/>
      <c r="M127" s="58"/>
      <c r="N127" s="80"/>
    </row>
    <row r="128" spans="1:45">
      <c r="I128" s="59"/>
      <c r="J128" s="58"/>
      <c r="K128" s="58"/>
      <c r="L128" s="58"/>
      <c r="M128" s="58"/>
      <c r="N128" s="80"/>
    </row>
    <row r="129" spans="9:14">
      <c r="I129" s="59"/>
      <c r="J129" s="58"/>
      <c r="K129" s="58"/>
      <c r="L129" s="58"/>
      <c r="M129" s="58"/>
      <c r="N129" s="80"/>
    </row>
    <row r="130" spans="9:14">
      <c r="I130" s="59"/>
      <c r="J130" s="58"/>
      <c r="K130" s="58"/>
      <c r="L130" s="58"/>
      <c r="M130" s="58"/>
      <c r="N130" s="80"/>
    </row>
    <row r="131" spans="9:14">
      <c r="I131" s="59"/>
      <c r="J131" s="58"/>
      <c r="K131" s="58"/>
      <c r="L131" s="58"/>
      <c r="M131" s="58"/>
      <c r="N131" s="80"/>
    </row>
    <row r="132" spans="9:14">
      <c r="I132" s="59"/>
      <c r="J132" s="58"/>
      <c r="K132" s="58"/>
      <c r="L132" s="58"/>
      <c r="M132" s="58"/>
      <c r="N132" s="80"/>
    </row>
    <row r="133" spans="9:14">
      <c r="I133" s="77"/>
      <c r="J133" s="76"/>
      <c r="K133" s="76"/>
      <c r="L133" s="76"/>
      <c r="M133" s="76"/>
      <c r="N133" s="80"/>
    </row>
    <row r="134" spans="9:14">
      <c r="I134" s="77"/>
      <c r="J134" s="76"/>
      <c r="K134" s="76"/>
      <c r="L134" s="76"/>
      <c r="M134" s="76"/>
      <c r="N134" s="80"/>
    </row>
    <row r="135" spans="9:14">
      <c r="I135" s="77"/>
      <c r="J135" s="76"/>
      <c r="K135" s="76"/>
      <c r="L135" s="76"/>
      <c r="M135" s="76"/>
      <c r="N135" s="80"/>
    </row>
    <row r="136" spans="9:14">
      <c r="I136" s="77"/>
      <c r="J136" s="76"/>
      <c r="K136" s="76"/>
      <c r="L136" s="76"/>
      <c r="M136" s="76"/>
      <c r="N136" s="80"/>
    </row>
    <row r="137" spans="9:14">
      <c r="I137" s="77"/>
      <c r="J137" s="76"/>
      <c r="K137" s="76"/>
      <c r="L137" s="76"/>
      <c r="M137" s="76"/>
      <c r="N137" s="80"/>
    </row>
    <row r="138" spans="9:14">
      <c r="I138" s="77"/>
      <c r="J138" s="76"/>
      <c r="K138" s="76"/>
      <c r="L138" s="76"/>
      <c r="M138" s="76"/>
      <c r="N138" s="80"/>
    </row>
    <row r="139" spans="9:14">
      <c r="I139" s="77"/>
      <c r="J139" s="76"/>
      <c r="K139" s="76"/>
      <c r="L139" s="76"/>
      <c r="M139" s="76"/>
      <c r="N139" s="80"/>
    </row>
    <row r="140" spans="9:14">
      <c r="I140" s="77"/>
      <c r="J140" s="76"/>
      <c r="K140" s="76"/>
      <c r="L140" s="76"/>
      <c r="M140" s="76"/>
      <c r="N140" s="80"/>
    </row>
    <row r="141" spans="9:14">
      <c r="I141" s="77"/>
      <c r="J141" s="76"/>
      <c r="K141" s="76"/>
      <c r="L141" s="76"/>
      <c r="M141" s="76"/>
      <c r="N141" s="80"/>
    </row>
    <row r="142" spans="9:14">
      <c r="I142" s="77"/>
      <c r="J142" s="76"/>
      <c r="K142" s="76"/>
      <c r="L142" s="76"/>
      <c r="M142" s="76"/>
      <c r="N142" s="80"/>
    </row>
    <row r="143" spans="9:14">
      <c r="I143" s="77"/>
      <c r="J143" s="76"/>
      <c r="K143" s="76"/>
      <c r="L143" s="76"/>
      <c r="M143" s="76"/>
      <c r="N143" s="80"/>
    </row>
    <row r="144" spans="9:14">
      <c r="I144" s="77"/>
      <c r="J144" s="76"/>
      <c r="K144" s="76"/>
      <c r="L144" s="76"/>
      <c r="M144" s="76"/>
      <c r="N144" s="80"/>
    </row>
    <row r="145" spans="9:14">
      <c r="I145" s="77"/>
      <c r="J145" s="76"/>
      <c r="K145" s="76"/>
      <c r="L145" s="76"/>
      <c r="M145" s="76"/>
      <c r="N145" s="80"/>
    </row>
    <row r="146" spans="9:14">
      <c r="I146" s="77"/>
      <c r="J146" s="76"/>
      <c r="K146" s="76"/>
      <c r="L146" s="76"/>
      <c r="M146" s="76"/>
      <c r="N146" s="80"/>
    </row>
    <row r="147" spans="9:14">
      <c r="I147" s="77"/>
      <c r="J147" s="76"/>
      <c r="K147" s="76"/>
      <c r="L147" s="76"/>
      <c r="M147" s="76"/>
      <c r="N147" s="80"/>
    </row>
    <row r="148" spans="9:14">
      <c r="I148" s="77"/>
      <c r="J148" s="76"/>
      <c r="K148" s="76"/>
      <c r="L148" s="76"/>
      <c r="M148" s="76"/>
      <c r="N148" s="80"/>
    </row>
    <row r="149" spans="9:14">
      <c r="I149" s="77"/>
      <c r="J149" s="76"/>
      <c r="K149" s="76"/>
      <c r="L149" s="76"/>
      <c r="M149" s="76"/>
      <c r="N149" s="80"/>
    </row>
    <row r="150" spans="9:14">
      <c r="I150" s="77"/>
      <c r="J150" s="76"/>
      <c r="K150" s="76"/>
      <c r="L150" s="76"/>
      <c r="M150" s="76"/>
      <c r="N150" s="80"/>
    </row>
    <row r="151" spans="9:14">
      <c r="I151" s="77"/>
      <c r="J151" s="76"/>
      <c r="K151" s="76"/>
      <c r="L151" s="76"/>
      <c r="M151" s="76"/>
      <c r="N151" s="80"/>
    </row>
    <row r="152" spans="9:14">
      <c r="I152" s="77"/>
      <c r="J152" s="76"/>
      <c r="K152" s="76"/>
      <c r="L152" s="76"/>
      <c r="M152" s="76"/>
      <c r="N152" s="80"/>
    </row>
    <row r="153" spans="9:14">
      <c r="I153" s="77"/>
      <c r="J153" s="76"/>
      <c r="K153" s="76"/>
      <c r="L153" s="76"/>
      <c r="M153" s="76"/>
      <c r="N153" s="80"/>
    </row>
    <row r="154" spans="9:14">
      <c r="I154" s="77"/>
      <c r="J154" s="76"/>
      <c r="K154" s="76"/>
      <c r="L154" s="76"/>
      <c r="M154" s="76"/>
      <c r="N154" s="80"/>
    </row>
    <row r="155" spans="9:14">
      <c r="I155" s="77"/>
      <c r="J155" s="76"/>
      <c r="K155" s="76"/>
      <c r="L155" s="76"/>
      <c r="M155" s="76"/>
      <c r="N155" s="80"/>
    </row>
    <row r="156" spans="9:14">
      <c r="I156" s="77"/>
      <c r="J156" s="76"/>
      <c r="K156" s="76"/>
      <c r="L156" s="76"/>
      <c r="M156" s="76"/>
      <c r="N156" s="80"/>
    </row>
    <row r="157" spans="9:14">
      <c r="I157" s="77"/>
      <c r="J157" s="76"/>
      <c r="K157" s="76"/>
      <c r="L157" s="76"/>
      <c r="M157" s="76"/>
      <c r="N157" s="80"/>
    </row>
    <row r="158" spans="9:14">
      <c r="I158" s="77"/>
      <c r="J158" s="76"/>
      <c r="K158" s="76"/>
      <c r="L158" s="76"/>
      <c r="M158" s="76"/>
      <c r="N158" s="80"/>
    </row>
    <row r="159" spans="9:14">
      <c r="I159" s="77"/>
      <c r="J159" s="76"/>
      <c r="K159" s="76"/>
      <c r="L159" s="76"/>
      <c r="M159" s="76"/>
      <c r="N159" s="80"/>
    </row>
    <row r="160" spans="9:14">
      <c r="I160" s="77"/>
      <c r="J160" s="76"/>
      <c r="K160" s="76"/>
      <c r="L160" s="76"/>
      <c r="M160" s="76"/>
      <c r="N160" s="80"/>
    </row>
    <row r="161" spans="9:14">
      <c r="I161" s="77"/>
      <c r="J161" s="76"/>
      <c r="K161" s="76"/>
      <c r="L161" s="76"/>
      <c r="M161" s="76"/>
      <c r="N161" s="80"/>
    </row>
    <row r="162" spans="9:14">
      <c r="I162" s="77"/>
      <c r="J162" s="76"/>
      <c r="K162" s="76"/>
      <c r="L162" s="76"/>
      <c r="M162" s="76"/>
    </row>
    <row r="163" spans="9:14">
      <c r="I163" s="77"/>
      <c r="J163" s="76"/>
      <c r="K163" s="76"/>
      <c r="L163" s="76"/>
      <c r="M163" s="76"/>
    </row>
    <row r="164" spans="9:14">
      <c r="I164" s="77"/>
      <c r="J164" s="76"/>
      <c r="K164" s="76"/>
      <c r="L164" s="76"/>
      <c r="M164" s="76"/>
    </row>
    <row r="165" spans="9:14">
      <c r="I165" s="77"/>
      <c r="J165" s="76"/>
      <c r="K165" s="76"/>
      <c r="L165" s="76"/>
      <c r="M165" s="76"/>
    </row>
    <row r="166" spans="9:14">
      <c r="I166" s="77"/>
      <c r="J166" s="76"/>
      <c r="K166" s="76"/>
      <c r="L166" s="76"/>
      <c r="M166" s="76"/>
    </row>
    <row r="167" spans="9:14">
      <c r="I167" s="77"/>
      <c r="J167" s="76"/>
      <c r="K167" s="76"/>
      <c r="L167" s="76"/>
      <c r="M167" s="76"/>
    </row>
    <row r="168" spans="9:14">
      <c r="I168" s="77"/>
      <c r="J168" s="76"/>
      <c r="K168" s="76"/>
      <c r="L168" s="76"/>
      <c r="M168" s="76"/>
    </row>
    <row r="169" spans="9:14">
      <c r="I169" s="77"/>
      <c r="J169" s="76"/>
      <c r="K169" s="76"/>
      <c r="L169" s="76"/>
      <c r="M169" s="76"/>
    </row>
    <row r="170" spans="9:14">
      <c r="I170" s="77"/>
      <c r="J170" s="76"/>
      <c r="K170" s="76"/>
      <c r="L170" s="76"/>
      <c r="M170" s="76"/>
    </row>
    <row r="171" spans="9:14">
      <c r="I171" s="77"/>
      <c r="J171" s="76"/>
      <c r="K171" s="76"/>
      <c r="L171" s="76"/>
      <c r="M171" s="76"/>
    </row>
  </sheetData>
  <sortState xmlns:xlrd2="http://schemas.microsoft.com/office/spreadsheetml/2017/richdata2" ref="F2:G51">
    <sortCondition ref="F2:F51"/>
  </sortState>
  <mergeCells count="9">
    <mergeCell ref="I87:I88"/>
    <mergeCell ref="I91:I92"/>
    <mergeCell ref="O2:O3"/>
    <mergeCell ref="AS7:AS8"/>
    <mergeCell ref="O85:O86"/>
    <mergeCell ref="O89:O90"/>
    <mergeCell ref="AM8:AM9"/>
    <mergeCell ref="O77:O78"/>
    <mergeCell ref="O81:O82"/>
  </mergeCells>
  <conditionalFormatting sqref="P2:P65">
    <cfRule type="expression" dxfId="50" priority="126">
      <formula>Q3&lt;Q2</formula>
    </cfRule>
  </conditionalFormatting>
  <conditionalFormatting sqref="V2">
    <cfRule type="expression" dxfId="49" priority="62">
      <formula>W2&lt;W3</formula>
    </cfRule>
  </conditionalFormatting>
  <conditionalFormatting sqref="V3">
    <cfRule type="expression" dxfId="48" priority="61">
      <formula>W3&lt;W2</formula>
    </cfRule>
  </conditionalFormatting>
  <conditionalFormatting sqref="V4">
    <cfRule type="expression" dxfId="47" priority="60">
      <formula>W4&lt;W5</formula>
    </cfRule>
  </conditionalFormatting>
  <conditionalFormatting sqref="V5">
    <cfRule type="expression" dxfId="46" priority="59">
      <formula>W5&lt;W4</formula>
    </cfRule>
  </conditionalFormatting>
  <conditionalFormatting sqref="V6">
    <cfRule type="expression" dxfId="45" priority="58">
      <formula>W6&lt;W7</formula>
    </cfRule>
  </conditionalFormatting>
  <conditionalFormatting sqref="V7">
    <cfRule type="expression" dxfId="44" priority="57">
      <formula>W7&lt;W6</formula>
    </cfRule>
  </conditionalFormatting>
  <conditionalFormatting sqref="V8">
    <cfRule type="expression" dxfId="43" priority="56">
      <formula>W8&lt;W9</formula>
    </cfRule>
  </conditionalFormatting>
  <conditionalFormatting sqref="V9">
    <cfRule type="expression" dxfId="42" priority="55">
      <formula>W9&lt;W8</formula>
    </cfRule>
  </conditionalFormatting>
  <conditionalFormatting sqref="V10">
    <cfRule type="expression" dxfId="41" priority="54">
      <formula>W10&lt;W11</formula>
    </cfRule>
  </conditionalFormatting>
  <conditionalFormatting sqref="V11">
    <cfRule type="expression" dxfId="40" priority="53">
      <formula>W11&lt;W10</formula>
    </cfRule>
  </conditionalFormatting>
  <conditionalFormatting sqref="V12">
    <cfRule type="expression" dxfId="39" priority="52">
      <formula>W12&lt;W13</formula>
    </cfRule>
  </conditionalFormatting>
  <conditionalFormatting sqref="V13">
    <cfRule type="expression" dxfId="38" priority="51">
      <formula>W13&lt;W12</formula>
    </cfRule>
  </conditionalFormatting>
  <conditionalFormatting sqref="V14">
    <cfRule type="expression" dxfId="37" priority="50">
      <formula>W14&lt;W15</formula>
    </cfRule>
  </conditionalFormatting>
  <conditionalFormatting sqref="V15">
    <cfRule type="expression" dxfId="36" priority="49">
      <formula>W15&lt;W14</formula>
    </cfRule>
  </conditionalFormatting>
  <conditionalFormatting sqref="V16">
    <cfRule type="expression" dxfId="35" priority="48">
      <formula>W16&lt;W17</formula>
    </cfRule>
  </conditionalFormatting>
  <conditionalFormatting sqref="V17">
    <cfRule type="expression" dxfId="34" priority="47">
      <formula>W17&lt;W16</formula>
    </cfRule>
  </conditionalFormatting>
  <conditionalFormatting sqref="V18">
    <cfRule type="expression" dxfId="33" priority="46">
      <formula>W18&lt;W19</formula>
    </cfRule>
  </conditionalFormatting>
  <conditionalFormatting sqref="V19">
    <cfRule type="expression" dxfId="32" priority="45">
      <formula>W19&lt;W18</formula>
    </cfRule>
  </conditionalFormatting>
  <conditionalFormatting sqref="V20">
    <cfRule type="expression" dxfId="31" priority="44">
      <formula>W20&lt;W21</formula>
    </cfRule>
  </conditionalFormatting>
  <conditionalFormatting sqref="V21">
    <cfRule type="expression" dxfId="30" priority="43">
      <formula>W21&lt;W20</formula>
    </cfRule>
  </conditionalFormatting>
  <conditionalFormatting sqref="V22">
    <cfRule type="expression" dxfId="29" priority="42">
      <formula>W22&lt;W23</formula>
    </cfRule>
  </conditionalFormatting>
  <conditionalFormatting sqref="V23">
    <cfRule type="expression" dxfId="28" priority="41">
      <formula>W23&lt;W22</formula>
    </cfRule>
  </conditionalFormatting>
  <conditionalFormatting sqref="V24">
    <cfRule type="expression" dxfId="27" priority="40">
      <formula>W24&lt;W25</formula>
    </cfRule>
  </conditionalFormatting>
  <conditionalFormatting sqref="V25">
    <cfRule type="expression" dxfId="26" priority="39">
      <formula>W25&lt;W24</formula>
    </cfRule>
  </conditionalFormatting>
  <conditionalFormatting sqref="V26">
    <cfRule type="expression" dxfId="25" priority="38">
      <formula>W26&lt;W27</formula>
    </cfRule>
  </conditionalFormatting>
  <conditionalFormatting sqref="V27">
    <cfRule type="expression" dxfId="24" priority="37">
      <formula>W27&lt;W26</formula>
    </cfRule>
  </conditionalFormatting>
  <conditionalFormatting sqref="V28">
    <cfRule type="expression" dxfId="23" priority="36">
      <formula>W28&lt;W29</formula>
    </cfRule>
  </conditionalFormatting>
  <conditionalFormatting sqref="V29">
    <cfRule type="expression" dxfId="22" priority="35">
      <formula>W29&lt;W28</formula>
    </cfRule>
  </conditionalFormatting>
  <conditionalFormatting sqref="V30">
    <cfRule type="expression" dxfId="21" priority="34">
      <formula>W30&lt;W31</formula>
    </cfRule>
  </conditionalFormatting>
  <conditionalFormatting sqref="V31">
    <cfRule type="expression" dxfId="20" priority="33">
      <formula>W31&lt;W30</formula>
    </cfRule>
  </conditionalFormatting>
  <conditionalFormatting sqref="V32">
    <cfRule type="expression" dxfId="19" priority="32">
      <formula>W32&lt;W33</formula>
    </cfRule>
  </conditionalFormatting>
  <conditionalFormatting sqref="V33">
    <cfRule type="expression" dxfId="18" priority="31">
      <formula>W33&lt;W32</formula>
    </cfRule>
  </conditionalFormatting>
  <conditionalFormatting sqref="AB2">
    <cfRule type="expression" dxfId="17" priority="30">
      <formula>AC2&lt;AC3</formula>
    </cfRule>
  </conditionalFormatting>
  <conditionalFormatting sqref="AB3">
    <cfRule type="expression" dxfId="16" priority="29">
      <formula>AC3&lt;AC2</formula>
    </cfRule>
  </conditionalFormatting>
  <conditionalFormatting sqref="AB4 AB6 AB8 AB10 AB12 AB14 AB16">
    <cfRule type="expression" dxfId="15" priority="28">
      <formula>AC4&lt;AC5</formula>
    </cfRule>
  </conditionalFormatting>
  <conditionalFormatting sqref="AB5 AB7 AB9 AB11 AB13 AB15 AB17">
    <cfRule type="expression" dxfId="14" priority="27">
      <formula>AC5&lt;AC4</formula>
    </cfRule>
  </conditionalFormatting>
  <conditionalFormatting sqref="AH2">
    <cfRule type="expression" dxfId="13" priority="26">
      <formula>AI2&lt;AI3</formula>
    </cfRule>
  </conditionalFormatting>
  <conditionalFormatting sqref="AH3">
    <cfRule type="expression" dxfId="12" priority="25">
      <formula>AI3&lt;AI2</formula>
    </cfRule>
  </conditionalFormatting>
  <conditionalFormatting sqref="AH4 AH6 AH8">
    <cfRule type="expression" dxfId="11" priority="24">
      <formula>AI4&lt;AI5</formula>
    </cfRule>
  </conditionalFormatting>
  <conditionalFormatting sqref="AH5 AH7 AH9">
    <cfRule type="expression" dxfId="10" priority="23">
      <formula>AI5&lt;AI4</formula>
    </cfRule>
  </conditionalFormatting>
  <conditionalFormatting sqref="AN2">
    <cfRule type="expression" dxfId="9" priority="22">
      <formula>AO2&lt;AO3</formula>
    </cfRule>
  </conditionalFormatting>
  <conditionalFormatting sqref="AN3">
    <cfRule type="expression" dxfId="8" priority="21">
      <formula>AO3&lt;AO2</formula>
    </cfRule>
  </conditionalFormatting>
  <conditionalFormatting sqref="AN4">
    <cfRule type="expression" dxfId="7" priority="20">
      <formula>AO4&lt;AO5</formula>
    </cfRule>
  </conditionalFormatting>
  <conditionalFormatting sqref="AN5">
    <cfRule type="expression" dxfId="6" priority="19">
      <formula>AO5&lt;AO4</formula>
    </cfRule>
  </conditionalFormatting>
  <conditionalFormatting sqref="V38">
    <cfRule type="expression" dxfId="5" priority="17">
      <formula>W38&lt;W39</formula>
    </cfRule>
  </conditionalFormatting>
  <conditionalFormatting sqref="V39">
    <cfRule type="expression" dxfId="4" priority="16">
      <formula>W39&lt;W38</formula>
    </cfRule>
  </conditionalFormatting>
  <conditionalFormatting sqref="AB22">
    <cfRule type="expression" dxfId="3" priority="2">
      <formula>AC22&lt;AC23</formula>
    </cfRule>
  </conditionalFormatting>
  <conditionalFormatting sqref="AB23">
    <cfRule type="expression" dxfId="2" priority="1">
      <formula>AC23&lt;AC22</formula>
    </cfRule>
  </conditionalFormatting>
  <hyperlinks>
    <hyperlink ref="A11" r:id="rId1" xr:uid="{00000000-0004-0000-0900-000000000000}"/>
    <hyperlink ref="A1" location="Menu!A1" display="Number of competitors" xr:uid="{00000000-0004-0000-0900-000001000000}"/>
  </hyperlinks>
  <pageMargins left="0.70866141732283472" right="0.70866141732283472" top="0.74803149606299213" bottom="0.74803149606299213" header="0.31496062992125984" footer="0.31496062992125984"/>
  <pageSetup paperSize="9" scale="42"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4">
    <tabColor rgb="FFFFFF00"/>
    <pageSetUpPr fitToPage="1"/>
  </sheetPr>
  <dimension ref="A1:AQ285"/>
  <sheetViews>
    <sheetView topLeftCell="N1" zoomScale="80" zoomScaleNormal="80" workbookViewId="0">
      <pane ySplit="1" topLeftCell="A13" activePane="bottomLeft" state="frozen"/>
      <selection pane="bottomLeft" activeCell="AG1" sqref="AG1:AO51"/>
    </sheetView>
  </sheetViews>
  <sheetFormatPr defaultColWidth="9.1328125" defaultRowHeight="13.15"/>
  <cols>
    <col min="1" max="1" width="22.1328125" style="10" bestFit="1" customWidth="1"/>
    <col min="2" max="2" width="5.9296875" style="10" customWidth="1"/>
    <col min="3" max="3" width="5.53125" style="270" customWidth="1"/>
    <col min="4" max="4" width="11.265625" style="126" customWidth="1"/>
    <col min="5" max="5" width="20.3984375" style="14" customWidth="1"/>
    <col min="6" max="6" width="6" style="588" customWidth="1"/>
    <col min="7" max="7" width="8.73046875" style="18" customWidth="1"/>
    <col min="8" max="8" width="8" style="10" customWidth="1"/>
    <col min="9" max="9" width="8.59765625" style="126" customWidth="1"/>
    <col min="10" max="10" width="8.86328125" style="10" customWidth="1"/>
    <col min="11" max="11" width="6.73046875" style="409" customWidth="1"/>
    <col min="12" max="12" width="6.86328125" style="155" customWidth="1"/>
    <col min="13" max="13" width="29.265625" style="14" customWidth="1"/>
    <col min="14" max="14" width="10.73046875" style="10" customWidth="1"/>
    <col min="15" max="15" width="10.86328125" style="166" customWidth="1"/>
    <col min="16" max="16" width="6.59765625" style="10" customWidth="1"/>
    <col min="17" max="17" width="9" style="19" customWidth="1"/>
    <col min="18" max="18" width="26" style="19" customWidth="1"/>
    <col min="19" max="19" width="38.73046875" style="8" hidden="1" customWidth="1"/>
    <col min="20" max="20" width="3.59765625" style="58" hidden="1" customWidth="1"/>
    <col min="21" max="21" width="25.73046875" style="8" hidden="1" customWidth="1"/>
    <col min="22" max="22" width="11.1328125" style="8" hidden="1" customWidth="1"/>
    <col min="23" max="23" width="7" style="10" hidden="1" customWidth="1"/>
    <col min="24" max="24" width="20.73046875" style="8" hidden="1" customWidth="1"/>
    <col min="25" max="25" width="9.265625" style="8" hidden="1" customWidth="1"/>
    <col min="26" max="26" width="16.3984375" style="8" hidden="1" customWidth="1"/>
    <col min="27" max="27" width="8.86328125" style="8" hidden="1" customWidth="1"/>
    <col min="28" max="28" width="10.86328125" style="8" hidden="1" customWidth="1"/>
    <col min="29" max="29" width="20.1328125" style="8" hidden="1" customWidth="1"/>
    <col min="30" max="30" width="9.1328125" style="10" hidden="1" customWidth="1"/>
    <col min="31" max="31" width="14.265625" style="10" customWidth="1"/>
    <col min="32" max="32" width="9.3984375" style="10" customWidth="1"/>
    <col min="33" max="33" width="21.86328125" style="8" customWidth="1"/>
    <col min="34" max="34" width="12.59765625" style="8" customWidth="1"/>
    <col min="35" max="35" width="12.59765625" style="270" customWidth="1"/>
    <col min="36" max="36" width="8" style="8" customWidth="1"/>
    <col min="37" max="37" width="3.73046875" style="8" customWidth="1"/>
    <col min="38" max="38" width="21.86328125" style="8" customWidth="1"/>
    <col min="39" max="40" width="12.59765625" style="8" customWidth="1"/>
    <col min="41" max="41" width="7.73046875" style="8" customWidth="1"/>
    <col min="42" max="16384" width="9.1328125" style="8"/>
  </cols>
  <sheetData>
    <row r="1" spans="1:43" s="20" customFormat="1" ht="55.5" customHeight="1" thickTop="1" thickBot="1">
      <c r="A1" s="414" t="s">
        <v>16</v>
      </c>
      <c r="B1" s="414" t="s">
        <v>217</v>
      </c>
      <c r="C1" s="644" t="s">
        <v>212</v>
      </c>
      <c r="D1" s="648" t="s">
        <v>523</v>
      </c>
      <c r="E1" s="414" t="s">
        <v>25</v>
      </c>
      <c r="F1" s="587" t="s">
        <v>485</v>
      </c>
      <c r="G1" s="415" t="s">
        <v>154</v>
      </c>
      <c r="H1" s="416" t="s">
        <v>251</v>
      </c>
      <c r="I1" s="416" t="s">
        <v>28</v>
      </c>
      <c r="J1" s="417" t="s">
        <v>158</v>
      </c>
      <c r="K1" s="193">
        <f>entrants-SUM(K2:K151)-Inactive</f>
        <v>2</v>
      </c>
      <c r="L1" s="350" t="s">
        <v>336</v>
      </c>
      <c r="M1" s="461" t="s">
        <v>427</v>
      </c>
      <c r="N1" s="634" t="s">
        <v>54</v>
      </c>
      <c r="O1" s="635" t="s">
        <v>55</v>
      </c>
      <c r="P1" s="636" t="s">
        <v>17</v>
      </c>
      <c r="Q1" s="636" t="s">
        <v>53</v>
      </c>
      <c r="R1" s="568"/>
      <c r="S1" s="506" t="s">
        <v>19</v>
      </c>
      <c r="T1" s="188"/>
      <c r="U1" s="189" t="s">
        <v>48</v>
      </c>
      <c r="V1" s="190" t="s">
        <v>31</v>
      </c>
      <c r="W1" s="191" t="s">
        <v>52</v>
      </c>
      <c r="X1" s="20" t="s">
        <v>20</v>
      </c>
      <c r="Y1" s="20" t="s">
        <v>44</v>
      </c>
      <c r="Z1" s="20" t="s">
        <v>21</v>
      </c>
      <c r="AA1" s="20" t="s">
        <v>45</v>
      </c>
      <c r="AB1" s="20" t="s">
        <v>466</v>
      </c>
      <c r="AD1" s="192"/>
      <c r="AE1" s="599" t="s">
        <v>31</v>
      </c>
      <c r="AF1" s="600" t="s">
        <v>511</v>
      </c>
      <c r="AG1" s="187"/>
      <c r="AH1" s="351" t="s">
        <v>338</v>
      </c>
      <c r="AI1" s="403" t="s">
        <v>402</v>
      </c>
      <c r="AJ1" s="351" t="s">
        <v>340</v>
      </c>
      <c r="AL1" s="187" t="s">
        <v>16</v>
      </c>
      <c r="AM1" s="351" t="s">
        <v>339</v>
      </c>
      <c r="AN1" s="403" t="s">
        <v>402</v>
      </c>
      <c r="AO1" s="351" t="s">
        <v>340</v>
      </c>
      <c r="AQ1" s="20">
        <f>COUNTIF(I2:I151,-10)</f>
        <v>2</v>
      </c>
    </row>
    <row r="2" spans="1:43" ht="13.9" thickTop="1" thickBot="1">
      <c r="A2" s="604" t="str">
        <f>Results!B2</f>
        <v>Alan Bond</v>
      </c>
      <c r="B2" s="604" t="str">
        <f>INDEX(Table!E:E,MATCH(A2,Table!F:F,0))</f>
        <v>C</v>
      </c>
      <c r="C2" s="645">
        <f>INDEX(Table!D:D,MATCH(A2,Table!F:F,0))</f>
        <v>6</v>
      </c>
      <c r="D2" s="649">
        <f>INDEX(Table!I:I,MATCH(A2,Table!F:F,0))</f>
        <v>-10.729999999999995</v>
      </c>
      <c r="E2" s="605" t="str">
        <f>IF(M2="","",TRIM(CLEAN(M2)))</f>
        <v>Israel draw</v>
      </c>
      <c r="F2" s="606">
        <f>IF(M2="","",INDEX(Odds!C:C,MATCH(M2,Odds!G:G,0)))</f>
        <v>1</v>
      </c>
      <c r="G2" s="607">
        <f>IF(M2="","",O2)</f>
        <v>3.1</v>
      </c>
      <c r="H2" s="608" t="str">
        <f>IF(M2="","",IF(P2=1,"√","x"))</f>
        <v>x</v>
      </c>
      <c r="I2" s="609">
        <f>IF(M2="",-10,INDEX(Results!T:T,MATCH(A2,Results!V:V,0)))</f>
        <v>-3.9</v>
      </c>
      <c r="J2" s="610">
        <f>IF(M2="","",INDEX(Results!AI:AI,MATCH(A2,Results!V:V,0)))</f>
        <v>64.283000000000001</v>
      </c>
      <c r="K2" s="348" t="str">
        <f>IF(INDEX(Table!Q:Q,MATCH(A2,Table!F:F,0))="N","N","Y")</f>
        <v>Y</v>
      </c>
      <c r="L2" s="347">
        <f>INDEX(Picks!AJ:AJ,MATCH(A2,Picks!AG:AG,0))</f>
        <v>19</v>
      </c>
      <c r="M2" s="407" t="s">
        <v>642</v>
      </c>
      <c r="N2" s="624" t="str">
        <f>INDEX(Odds!H:H,MATCH(M2,Odds!G:G,0))</f>
        <v>21/10</v>
      </c>
      <c r="O2" s="625">
        <f>INDEX(Odds!I:I,MATCH(M2,Odds!G:G,0))</f>
        <v>3.1</v>
      </c>
      <c r="P2" s="626">
        <f>INDEX(Odds!J:J,MATCH(M2,Odds!G:G,0))</f>
        <v>0</v>
      </c>
      <c r="Q2" s="627">
        <f>O2*P2</f>
        <v>0</v>
      </c>
      <c r="R2" s="503"/>
      <c r="S2" s="500" t="str">
        <f>IF(Match!B2="","",Match!V2)</f>
        <v xml:space="preserve">Armenia 2-0 Latvia </v>
      </c>
      <c r="T2" s="88"/>
      <c r="U2" s="37" t="str">
        <f>IF(Odds!G2="","",Odds!G2)</f>
        <v>Armenia</v>
      </c>
      <c r="V2" s="38" t="str">
        <f>INDEX(Odds!H:H,MATCH(U2,Odds!G:G,0))</f>
        <v>7/10</v>
      </c>
      <c r="W2" s="39">
        <f t="shared" ref="W2:W46" si="0">IF(Y2&gt;AA2,1,0)</f>
        <v>1</v>
      </c>
      <c r="X2" s="20" t="str">
        <f>INDEX(Match!Q:Q,MATCH(S2,Match!V:V,0))</f>
        <v>Armenia</v>
      </c>
      <c r="Y2" s="20">
        <f>INDEX(Match!G:G,MATCH(S2,Match!V:V,0))</f>
        <v>2</v>
      </c>
      <c r="Z2" s="20" t="str">
        <f>INDEX(Match!R:R,MATCH(S2,Match!V:V,0))</f>
        <v>Latvia</v>
      </c>
      <c r="AA2" s="20">
        <f>INDEX(Match!H:H,MATCH(S2,Match!V:V,0))</f>
        <v>0</v>
      </c>
      <c r="AB2" s="8">
        <f>INDEX(Odds!K:K,MATCH(M2,Odds!G:G,0))</f>
        <v>1</v>
      </c>
      <c r="AE2" s="507" t="str">
        <f>IF(R2="","",INDEX(Odds!H:H,MATCH(R2,Odds!G:G,0)))</f>
        <v/>
      </c>
      <c r="AF2" s="507" t="str">
        <f>IF(INDEX(Table!S:S,MATCH(A2,Table!F:F,0))="N","N","")</f>
        <v/>
      </c>
      <c r="AG2" s="69" t="s">
        <v>288</v>
      </c>
      <c r="AH2" s="72">
        <f>INDEX(Picks!I:I,MATCH(AG2,Picks!A:A,0))</f>
        <v>16.990000000000002</v>
      </c>
      <c r="AI2" s="404">
        <f>INDEX(Weekly!I:I,MATCH(AG2,Weekly!E:E,0))</f>
        <v>3</v>
      </c>
      <c r="AJ2" s="69">
        <f>IF(AH2=-10,"",_xlfn.RANK.EQ(AH2,TopScores,0))</f>
        <v>1</v>
      </c>
      <c r="AL2" s="69" t="s">
        <v>285</v>
      </c>
      <c r="AM2" s="72">
        <f>INDEX(Picks!J:J,MATCH(AL2,Picks!A:A,0))</f>
        <v>5.2954545454545467</v>
      </c>
      <c r="AN2" s="404">
        <f>INDEX(Weekly!I:I,MATCH(AL2,Weekly!E:E,0))</f>
        <v>2</v>
      </c>
      <c r="AO2" s="69">
        <f>IF(AM2="","",_xlfn.RANK.EQ(AM2,TopMaxScores,0))</f>
        <v>48</v>
      </c>
    </row>
    <row r="3" spans="1:43">
      <c r="A3" s="611" t="str">
        <f>A2</f>
        <v>Alan Bond</v>
      </c>
      <c r="B3" s="611"/>
      <c r="C3" s="646"/>
      <c r="D3" s="650"/>
      <c r="E3" s="612" t="str">
        <f t="shared" ref="E3:E59" si="1">IF(M3="","",M3)</f>
        <v>Lithuania draw</v>
      </c>
      <c r="F3" s="606">
        <f>IF(M3="","",INDEX(Odds!C:C,MATCH(M3,Odds!G:G,0)))</f>
        <v>1</v>
      </c>
      <c r="G3" s="613">
        <f t="shared" ref="G3:G60" si="2">IF(M3="","",O3)</f>
        <v>3.1</v>
      </c>
      <c r="H3" s="614" t="str">
        <f t="shared" ref="H3:H66" si="3">IF(M3="","",IF(P3=1,"√","x"))</f>
        <v>√</v>
      </c>
      <c r="I3" s="615"/>
      <c r="J3" s="616"/>
      <c r="K3" s="348">
        <f>IF(J2="",0,1)</f>
        <v>1</v>
      </c>
      <c r="L3" s="348"/>
      <c r="M3" s="407" t="s">
        <v>643</v>
      </c>
      <c r="N3" s="628" t="str">
        <f>INDEX(Odds!H:H,MATCH(M3,Odds!G:G,0))</f>
        <v>21/10</v>
      </c>
      <c r="O3" s="629">
        <f>INDEX(Odds!I:I,MATCH(M3,Odds!G:G,0))</f>
        <v>3.1</v>
      </c>
      <c r="P3" s="626">
        <f>INDEX(Odds!J:J,MATCH(M3,Odds!G:G,0))</f>
        <v>1</v>
      </c>
      <c r="Q3" s="627">
        <f>O3*P3</f>
        <v>3.1</v>
      </c>
      <c r="R3" s="504"/>
      <c r="S3" s="501" t="str">
        <f>IF(Match!B3="","",Match!V3)</f>
        <v xml:space="preserve">Georgia 0-1 N Ireland </v>
      </c>
      <c r="T3" s="88"/>
      <c r="U3" s="35" t="str">
        <f>IF(Odds!G3="","",Odds!G3)</f>
        <v>Georgia</v>
      </c>
      <c r="V3" s="36" t="str">
        <f>INDEX(Odds!H:H,MATCH(U3,Odds!G:G,0))</f>
        <v>17/20</v>
      </c>
      <c r="W3" s="40">
        <f t="shared" si="0"/>
        <v>0</v>
      </c>
      <c r="X3" s="20" t="str">
        <f>INDEX(Match!Q:Q,MATCH(S3,Match!V:V,0))</f>
        <v>Georgia</v>
      </c>
      <c r="Y3" s="20">
        <f>INDEX(Match!G:G,MATCH(S3,Match!V:V,0))</f>
        <v>0</v>
      </c>
      <c r="Z3" s="20" t="str">
        <f>INDEX(Match!R:R,MATCH(S3,Match!V:V,0))</f>
        <v>N Ireland</v>
      </c>
      <c r="AA3" s="20">
        <f>INDEX(Match!H:H,MATCH(S3,Match!V:V,0))</f>
        <v>1</v>
      </c>
      <c r="AB3" s="8">
        <f>INDEX(Odds!K:K,MATCH(M3,Odds!G:G,0))</f>
        <v>1</v>
      </c>
      <c r="AE3" s="507" t="str">
        <f>IF(R3="","",INDEX(Odds!H:H,MATCH(R3,Odds!G:G,0)))</f>
        <v/>
      </c>
      <c r="AF3" s="507" t="str">
        <f>IF(INDEX(Table!S:S,MATCH(A3,Table!F:F,0))="N","N","")</f>
        <v/>
      </c>
      <c r="AG3" s="69" t="s">
        <v>284</v>
      </c>
      <c r="AH3" s="72">
        <f>INDEX(Picks!I:I,MATCH(AG3,Picks!A:A,0))</f>
        <v>15.625</v>
      </c>
      <c r="AI3" s="404">
        <f>INDEX(Weekly!I:I,MATCH(AG3,Weekly!E:E,0))</f>
        <v>3</v>
      </c>
      <c r="AJ3" s="69">
        <f>IF(AH3=-10,"",_xlfn.RANK.EQ(AH3,TopScores,0))</f>
        <v>2</v>
      </c>
      <c r="AL3" s="71" t="s">
        <v>297</v>
      </c>
      <c r="AM3" s="72">
        <f>INDEX(Picks!J:J,MATCH(AL3,Picks!A:A,0))</f>
        <v>7.0857142857142854</v>
      </c>
      <c r="AN3" s="404">
        <f>INDEX(Weekly!I:I,MATCH(AL3,Weekly!E:E,0))</f>
        <v>2</v>
      </c>
      <c r="AO3" s="69">
        <f>IF(AM3="","",_xlfn.RANK.EQ(AM3,TopMaxScores,0))</f>
        <v>47</v>
      </c>
    </row>
    <row r="4" spans="1:43" ht="13.5" thickBot="1">
      <c r="A4" s="617" t="str">
        <f>A2</f>
        <v>Alan Bond</v>
      </c>
      <c r="B4" s="617"/>
      <c r="C4" s="647"/>
      <c r="D4" s="651"/>
      <c r="E4" s="618" t="str">
        <f t="shared" si="1"/>
        <v>Norway draw</v>
      </c>
      <c r="F4" s="619">
        <f>IF(M4="","",INDEX(Odds!C:C,MATCH(M4,Odds!G:G,0)))</f>
        <v>1</v>
      </c>
      <c r="G4" s="620">
        <f t="shared" si="2"/>
        <v>3.3</v>
      </c>
      <c r="H4" s="614" t="str">
        <f t="shared" si="3"/>
        <v>x</v>
      </c>
      <c r="I4" s="615"/>
      <c r="J4" s="616"/>
      <c r="K4" s="348"/>
      <c r="L4" s="348"/>
      <c r="M4" s="408" t="s">
        <v>644</v>
      </c>
      <c r="N4" s="630" t="str">
        <f>INDEX(Odds!H:H,MATCH(M4,Odds!G:G,0))</f>
        <v>23/10</v>
      </c>
      <c r="O4" s="631">
        <f>INDEX(Odds!I:I,MATCH(M4,Odds!G:G,0))</f>
        <v>3.3</v>
      </c>
      <c r="P4" s="626">
        <f>INDEX(Odds!J:J,MATCH(M4,Odds!G:G,0))</f>
        <v>0</v>
      </c>
      <c r="Q4" s="632">
        <f>O4*P4</f>
        <v>0</v>
      </c>
      <c r="R4" s="505"/>
      <c r="S4" s="501" t="str">
        <f>IF(Match!B4="","",Match!V4)</f>
        <v xml:space="preserve">Hungary 0-1 Ukraine </v>
      </c>
      <c r="T4" s="88"/>
      <c r="U4" s="35" t="str">
        <f>IF(Odds!G4="","",Odds!G4)</f>
        <v>Hungary</v>
      </c>
      <c r="V4" s="36" t="str">
        <f>INDEX(Odds!H:H,MATCH(U4,Odds!G:G,0))</f>
        <v>6/5</v>
      </c>
      <c r="W4" s="40">
        <f t="shared" si="0"/>
        <v>0</v>
      </c>
      <c r="X4" s="20" t="str">
        <f>INDEX(Match!Q:Q,MATCH(S4,Match!V:V,0))</f>
        <v>Hungary</v>
      </c>
      <c r="Y4" s="20">
        <f>INDEX(Match!G:G,MATCH(S4,Match!V:V,0))</f>
        <v>0</v>
      </c>
      <c r="Z4" s="20" t="str">
        <f>INDEX(Match!R:R,MATCH(S4,Match!V:V,0))</f>
        <v>Ukraine</v>
      </c>
      <c r="AA4" s="20">
        <f>INDEX(Match!H:H,MATCH(S4,Match!V:V,0))</f>
        <v>1</v>
      </c>
      <c r="AB4" s="8">
        <f>INDEX(Odds!K:K,MATCH(M4,Odds!G:G,0))</f>
        <v>1</v>
      </c>
      <c r="AE4" s="508" t="str">
        <f>IF(R4="","",INDEX(Odds!H:H,MATCH(R4,Odds!G:G,0)))</f>
        <v/>
      </c>
      <c r="AF4" s="508" t="str">
        <f>IF(INDEX(Table!S:S,MATCH(A4,Table!F:F,0))="N","N","")</f>
        <v/>
      </c>
      <c r="AG4" s="69" t="s">
        <v>273</v>
      </c>
      <c r="AH4" s="72">
        <f>INDEX(Picks!I:I,MATCH(AG4,Picks!A:A,0))</f>
        <v>14.65625</v>
      </c>
      <c r="AI4" s="404">
        <f>INDEX(Weekly!I:I,MATCH(AG4,Weekly!E:E,0))</f>
        <v>3</v>
      </c>
      <c r="AJ4" s="69">
        <f>IF(AH4=-10,"",_xlfn.RANK.EQ(AH4,TopScores,0))</f>
        <v>3</v>
      </c>
      <c r="AL4" s="71" t="s">
        <v>289</v>
      </c>
      <c r="AM4" s="72">
        <f>INDEX(Picks!J:J,MATCH(AL4,Picks!A:A,0))</f>
        <v>8.3461538461538467</v>
      </c>
      <c r="AN4" s="404">
        <f>INDEX(Weekly!I:I,MATCH(AL4,Weekly!E:E,0))</f>
        <v>2</v>
      </c>
      <c r="AO4" s="69">
        <f>IF(AM4="","",_xlfn.RANK.EQ(AM4,TopMaxScores,0))</f>
        <v>46</v>
      </c>
    </row>
    <row r="5" spans="1:43" ht="13.9" thickTop="1" thickBot="1">
      <c r="A5" s="604" t="str">
        <f>Results!B5</f>
        <v>Alan Rogers</v>
      </c>
      <c r="B5" s="604" t="str">
        <f>INDEX(Table!E:E,MATCH(A5,Table!F:F,0))</f>
        <v>A</v>
      </c>
      <c r="C5" s="645">
        <f>INDEX(Table!D:D,MATCH(A5,Table!F:F,0))</f>
        <v>6</v>
      </c>
      <c r="D5" s="649">
        <f>INDEX(Table!I:I,MATCH(A5,Table!F:F,0))</f>
        <v>-14.09</v>
      </c>
      <c r="E5" s="605" t="str">
        <f>IF(M5="","",M5)</f>
        <v>Cheltenham</v>
      </c>
      <c r="F5" s="606">
        <f>IF(M5="","",INDEX(Odds!C:C,MATCH(M5,Odds!G:G,0)))</f>
        <v>7</v>
      </c>
      <c r="G5" s="607">
        <f t="shared" si="2"/>
        <v>2.9</v>
      </c>
      <c r="H5" s="608" t="str">
        <f t="shared" si="3"/>
        <v>√</v>
      </c>
      <c r="I5" s="609">
        <f>IF(M5="",-10,INDEX(Results!T:T,MATCH(A5,Results!V:V,0)))</f>
        <v>9.16</v>
      </c>
      <c r="J5" s="610">
        <f>IF(M5="","",INDEX(Results!AI:AI,MATCH(A5,Results!V:V,0)))</f>
        <v>44.337999999999994</v>
      </c>
      <c r="K5" s="348" t="str">
        <f>IF(INDEX(Table!Q:Q,MATCH(A5,Table!F:F,0))="N","N","Y")</f>
        <v>Y</v>
      </c>
      <c r="L5" s="347">
        <f>INDEX(Picks!AJ:AJ,MATCH(A5,Picks!AG:AG,0))</f>
        <v>6</v>
      </c>
      <c r="M5" s="407" t="s">
        <v>559</v>
      </c>
      <c r="N5" s="624" t="str">
        <f>INDEX(Odds!H:H,MATCH(M5,Odds!G:G,0))</f>
        <v>19/10</v>
      </c>
      <c r="O5" s="625">
        <f>INDEX(Odds!I:I,MATCH(M5,Odds!G:G,0))</f>
        <v>2.9</v>
      </c>
      <c r="P5" s="633">
        <f>INDEX(Odds!J:J,MATCH(M5,Odds!G:G,0))</f>
        <v>1</v>
      </c>
      <c r="Q5" s="627">
        <f t="shared" ref="Q5:Q61" si="4">O5*P5</f>
        <v>2.9</v>
      </c>
      <c r="R5" s="504"/>
      <c r="S5" s="501" t="str">
        <f>IF(Match!B5="","",Match!V5)</f>
        <v xml:space="preserve">Italy 0-2 Belgium </v>
      </c>
      <c r="T5" s="88"/>
      <c r="U5" s="35" t="str">
        <f>IF(Odds!G5="","",Odds!G5)</f>
        <v>Italy</v>
      </c>
      <c r="V5" s="36" t="str">
        <f>INDEX(Odds!H:H,MATCH(U5,Odds!G:G,0))</f>
        <v>11/10</v>
      </c>
      <c r="W5" s="40">
        <f t="shared" si="0"/>
        <v>0</v>
      </c>
      <c r="X5" s="20" t="str">
        <f>INDEX(Match!Q:Q,MATCH(S5,Match!V:V,0))</f>
        <v>Italy</v>
      </c>
      <c r="Y5" s="20">
        <f>INDEX(Match!G:G,MATCH(S5,Match!V:V,0))</f>
        <v>0</v>
      </c>
      <c r="Z5" s="20" t="str">
        <f>INDEX(Match!R:R,MATCH(S5,Match!V:V,0))</f>
        <v>Belgium</v>
      </c>
      <c r="AA5" s="20">
        <f>INDEX(Match!H:H,MATCH(S5,Match!V:V,0))</f>
        <v>2</v>
      </c>
      <c r="AB5" s="8">
        <f>INDEX(Odds!K:K,MATCH(M5,Odds!G:G,0))</f>
        <v>1</v>
      </c>
      <c r="AE5" s="507" t="str">
        <f>IF(R5="","",INDEX(Odds!H:H,MATCH(R5,Odds!G:G,0)))</f>
        <v/>
      </c>
      <c r="AF5" s="507" t="str">
        <f>IF(INDEX(Table!S:S,MATCH(A5,Table!F:F,0))="N","N","")</f>
        <v/>
      </c>
      <c r="AG5" s="69" t="s">
        <v>348</v>
      </c>
      <c r="AH5" s="72">
        <f>INDEX(Picks!I:I,MATCH(AG5,Picks!A:A,0))</f>
        <v>9.6000000000000014</v>
      </c>
      <c r="AI5" s="404">
        <f>INDEX(Weekly!I:I,MATCH(AG5,Weekly!E:E,0))</f>
        <v>2</v>
      </c>
      <c r="AJ5" s="69">
        <f>IF(AH5=-10,"",_xlfn.RANK.EQ(AH5,TopScores,0))</f>
        <v>4</v>
      </c>
      <c r="AL5" s="71" t="s">
        <v>287</v>
      </c>
      <c r="AM5" s="72">
        <f>INDEX(Picks!J:J,MATCH(AL5,Picks!A:A,0))</f>
        <v>9.3090909090909122</v>
      </c>
      <c r="AN5" s="404">
        <f>INDEX(Weekly!I:I,MATCH(AL5,Weekly!E:E,0))</f>
        <v>1</v>
      </c>
      <c r="AO5" s="69">
        <f>IF(AM5="","",_xlfn.RANK.EQ(AM5,TopMaxScores,0))</f>
        <v>45</v>
      </c>
    </row>
    <row r="6" spans="1:43">
      <c r="A6" s="611" t="str">
        <f>A5</f>
        <v>Alan Rogers</v>
      </c>
      <c r="B6" s="611"/>
      <c r="C6" s="646"/>
      <c r="D6" s="650"/>
      <c r="E6" s="612" t="str">
        <f t="shared" si="1"/>
        <v>Rotherham draw</v>
      </c>
      <c r="F6" s="606">
        <f>IF(M6="","",INDEX(Odds!C:C,MATCH(M6,Odds!G:G,0)))</f>
        <v>7</v>
      </c>
      <c r="G6" s="613">
        <f t="shared" si="2"/>
        <v>3.4</v>
      </c>
      <c r="H6" s="614" t="str">
        <f t="shared" si="3"/>
        <v>√</v>
      </c>
      <c r="I6" s="615"/>
      <c r="J6" s="616"/>
      <c r="K6" s="348">
        <f>IF(J5="",0,1)</f>
        <v>1</v>
      </c>
      <c r="L6" s="348"/>
      <c r="M6" s="407" t="s">
        <v>649</v>
      </c>
      <c r="N6" s="628" t="str">
        <f>INDEX(Odds!H:H,MATCH(M6,Odds!G:G,0))</f>
        <v>12/5</v>
      </c>
      <c r="O6" s="629">
        <f>INDEX(Odds!I:I,MATCH(M6,Odds!G:G,0))</f>
        <v>3.4</v>
      </c>
      <c r="P6" s="626">
        <f>INDEX(Odds!J:J,MATCH(M6,Odds!G:G,0))</f>
        <v>1</v>
      </c>
      <c r="Q6" s="627">
        <f t="shared" si="4"/>
        <v>3.4</v>
      </c>
      <c r="R6" s="504"/>
      <c r="S6" s="501" t="str">
        <f>IF(Match!B6="","",Match!V6)</f>
        <v xml:space="preserve">Montenegro 2-1 Cyprus </v>
      </c>
      <c r="T6" s="88"/>
      <c r="U6" s="35" t="str">
        <f>IF(Odds!G6="","",Odds!G6)</f>
        <v>Montenegro</v>
      </c>
      <c r="V6" s="36" t="str">
        <f>INDEX(Odds!H:H,MATCH(U6,Odds!G:G,0))</f>
        <v>7/10</v>
      </c>
      <c r="W6" s="40">
        <f t="shared" si="0"/>
        <v>1</v>
      </c>
      <c r="X6" s="20" t="str">
        <f>INDEX(Match!Q:Q,MATCH(S6,Match!V:V,0))</f>
        <v>Montenegro</v>
      </c>
      <c r="Y6" s="20">
        <f>INDEX(Match!G:G,MATCH(S6,Match!V:V,0))</f>
        <v>2</v>
      </c>
      <c r="Z6" s="20" t="str">
        <f>INDEX(Match!R:R,MATCH(S6,Match!V:V,0))</f>
        <v>Cyprus</v>
      </c>
      <c r="AA6" s="20">
        <f>INDEX(Match!H:H,MATCH(S6,Match!V:V,0))</f>
        <v>1</v>
      </c>
      <c r="AB6" s="8">
        <f>INDEX(Odds!K:K,MATCH(M6,Odds!G:G,0))</f>
        <v>1</v>
      </c>
      <c r="AE6" s="507" t="str">
        <f>IF(R6="","",INDEX(Odds!H:H,MATCH(R6,Odds!G:G,0)))</f>
        <v/>
      </c>
      <c r="AF6" s="507" t="str">
        <f>IF(INDEX(Table!S:S,MATCH(A6,Table!F:F,0))="N","N","")</f>
        <v/>
      </c>
      <c r="AG6" s="69" t="s">
        <v>298</v>
      </c>
      <c r="AH6" s="72">
        <f>INDEX(Picks!I:I,MATCH(AG6,Picks!A:A,0))</f>
        <v>9.6000000000000014</v>
      </c>
      <c r="AI6" s="404">
        <f>INDEX(Weekly!I:I,MATCH(AG6,Weekly!E:E,0))</f>
        <v>2</v>
      </c>
      <c r="AJ6" s="69">
        <f>IF(AH6=-10,"",_xlfn.RANK.EQ(AH6,TopScores,0))</f>
        <v>4</v>
      </c>
      <c r="AL6" s="71" t="s">
        <v>481</v>
      </c>
      <c r="AM6" s="72">
        <f>INDEX(Picks!J:J,MATCH(AL6,Picks!A:A,0))</f>
        <v>9.9807692307692299</v>
      </c>
      <c r="AN6" s="404">
        <f>INDEX(Weekly!I:I,MATCH(AL6,Weekly!E:E,0))</f>
        <v>2</v>
      </c>
      <c r="AO6" s="69">
        <f>IF(AM6="","",_xlfn.RANK.EQ(AM6,TopMaxScores,0))</f>
        <v>44</v>
      </c>
    </row>
    <row r="7" spans="1:43" ht="13.5" thickBot="1">
      <c r="A7" s="617" t="str">
        <f>A5</f>
        <v>Alan Rogers</v>
      </c>
      <c r="B7" s="617"/>
      <c r="C7" s="647"/>
      <c r="D7" s="651"/>
      <c r="E7" s="618" t="str">
        <f t="shared" si="1"/>
        <v>Swindon</v>
      </c>
      <c r="F7" s="619">
        <f>IF(M7="","",INDEX(Odds!C:C,MATCH(M7,Odds!G:G,0)))</f>
        <v>7</v>
      </c>
      <c r="G7" s="620">
        <f t="shared" si="2"/>
        <v>2.0499999999999998</v>
      </c>
      <c r="H7" s="614" t="str">
        <f t="shared" si="3"/>
        <v>x</v>
      </c>
      <c r="I7" s="615"/>
      <c r="J7" s="616"/>
      <c r="K7" s="348"/>
      <c r="L7" s="348"/>
      <c r="M7" s="408" t="s">
        <v>571</v>
      </c>
      <c r="N7" s="630" t="str">
        <f>INDEX(Odds!H:H,MATCH(M7,Odds!G:G,0))</f>
        <v>21/20</v>
      </c>
      <c r="O7" s="631">
        <f>INDEX(Odds!I:I,MATCH(M7,Odds!G:G,0))</f>
        <v>2.0499999999999998</v>
      </c>
      <c r="P7" s="626">
        <f>INDEX(Odds!J:J,MATCH(M7,Odds!G:G,0))</f>
        <v>0</v>
      </c>
      <c r="Q7" s="632">
        <f t="shared" si="4"/>
        <v>0</v>
      </c>
      <c r="R7" s="505"/>
      <c r="S7" s="501" t="str">
        <f>IF(Match!B7="","",Match!V7)</f>
        <v xml:space="preserve">Poland 0-0 Bosnia </v>
      </c>
      <c r="T7" s="88"/>
      <c r="U7" s="35" t="str">
        <f>IF(Odds!G7="","",Odds!G7)</f>
        <v>Poland</v>
      </c>
      <c r="V7" s="36" t="str">
        <f>INDEX(Odds!H:H,MATCH(U7,Odds!G:G,0))</f>
        <v>4/6</v>
      </c>
      <c r="W7" s="40">
        <f t="shared" si="0"/>
        <v>0</v>
      </c>
      <c r="X7" s="20" t="str">
        <f>INDEX(Match!Q:Q,MATCH(S7,Match!V:V,0))</f>
        <v>Poland</v>
      </c>
      <c r="Y7" s="20">
        <f>INDEX(Match!G:G,MATCH(S7,Match!V:V,0))</f>
        <v>0</v>
      </c>
      <c r="Z7" s="20" t="str">
        <f>INDEX(Match!R:R,MATCH(S7,Match!V:V,0))</f>
        <v>Bosnia</v>
      </c>
      <c r="AA7" s="20">
        <f>INDEX(Match!H:H,MATCH(S7,Match!V:V,0))</f>
        <v>0</v>
      </c>
      <c r="AB7" s="8">
        <f>INDEX(Odds!K:K,MATCH(M7,Odds!G:G,0))</f>
        <v>1</v>
      </c>
      <c r="AE7" s="508" t="str">
        <f>IF(R7="","",INDEX(Odds!H:H,MATCH(R7,Odds!G:G,0)))</f>
        <v/>
      </c>
      <c r="AF7" s="508" t="str">
        <f>IF(INDEX(Table!S:S,MATCH(A7,Table!F:F,0))="N","N","")</f>
        <v/>
      </c>
      <c r="AG7" s="69" t="s">
        <v>282</v>
      </c>
      <c r="AH7" s="72">
        <f>INDEX(Picks!I:I,MATCH(AG7,Picks!A:A,0))</f>
        <v>9.16</v>
      </c>
      <c r="AI7" s="404">
        <f>INDEX(Weekly!I:I,MATCH(AG7,Weekly!E:E,0))</f>
        <v>2</v>
      </c>
      <c r="AJ7" s="69">
        <f>IF(AH7=-10,"",_xlfn.RANK.EQ(AH7,TopScores,0))</f>
        <v>6</v>
      </c>
      <c r="AL7" s="71" t="s">
        <v>512</v>
      </c>
      <c r="AM7" s="72">
        <f>INDEX(Picks!J:J,MATCH(AL7,Picks!A:A,0))</f>
        <v>10.530909090909091</v>
      </c>
      <c r="AN7" s="404">
        <f>INDEX(Weekly!I:I,MATCH(AL7,Weekly!E:E,0))</f>
        <v>1</v>
      </c>
      <c r="AO7" s="69">
        <f>IF(AM7="","",_xlfn.RANK.EQ(AM7,TopMaxScores,0))</f>
        <v>43</v>
      </c>
    </row>
    <row r="8" spans="1:43" ht="13.9" thickTop="1" thickBot="1">
      <c r="A8" s="604" t="str">
        <f>Results!B8</f>
        <v>Alan White</v>
      </c>
      <c r="B8" s="604" t="str">
        <f>INDEX(Table!E:E,MATCH(A8,Table!F:F,0))</f>
        <v>A</v>
      </c>
      <c r="C8" s="645">
        <f>INDEX(Table!D:D,MATCH(A8,Table!F:F,0))</f>
        <v>13</v>
      </c>
      <c r="D8" s="649">
        <f>INDEX(Table!I:I,MATCH(A8,Table!F:F,0))</f>
        <v>-29.356363636363636</v>
      </c>
      <c r="E8" s="605" t="str">
        <f t="shared" si="1"/>
        <v>Swindon</v>
      </c>
      <c r="F8" s="606">
        <f>IF(M8="","",INDEX(Odds!C:C,MATCH(M8,Odds!G:G,0)))</f>
        <v>7</v>
      </c>
      <c r="G8" s="607">
        <f t="shared" si="2"/>
        <v>2.0499999999999998</v>
      </c>
      <c r="H8" s="608" t="str">
        <f t="shared" si="3"/>
        <v>x</v>
      </c>
      <c r="I8" s="609">
        <f>IF(M8="",-10,INDEX(Results!T:T,MATCH(A8,Results!V:V,0)))</f>
        <v>-5.6363636363636367</v>
      </c>
      <c r="J8" s="610">
        <f>IF(M8="","",INDEX(Results!AI:AI,MATCH(A8,Results!V:V,0)))</f>
        <v>10.854545454545455</v>
      </c>
      <c r="K8" s="348" t="str">
        <f>IF(INDEX(Table!Q:Q,MATCH(A8,Table!F:F,0))="N","N","Y")</f>
        <v>Y</v>
      </c>
      <c r="L8" s="347">
        <f>INDEX(Picks!AJ:AJ,MATCH(A8,Picks!AG:AG,0))</f>
        <v>35</v>
      </c>
      <c r="M8" s="407" t="s">
        <v>571</v>
      </c>
      <c r="N8" s="624" t="str">
        <f>INDEX(Odds!H:H,MATCH(M8,Odds!G:G,0))</f>
        <v>21/20</v>
      </c>
      <c r="O8" s="625">
        <f>INDEX(Odds!I:I,MATCH(M8,Odds!G:G,0))</f>
        <v>2.0499999999999998</v>
      </c>
      <c r="P8" s="633">
        <f>INDEX(Odds!J:J,MATCH(M8,Odds!G:G,0))</f>
        <v>0</v>
      </c>
      <c r="Q8" s="627">
        <f t="shared" si="4"/>
        <v>0</v>
      </c>
      <c r="R8" s="504"/>
      <c r="S8" s="501" t="str">
        <f>IF(Match!B8="","",Match!V8)</f>
        <v xml:space="preserve">Sweden 2-1 Romania </v>
      </c>
      <c r="T8" s="88"/>
      <c r="U8" s="35" t="str">
        <f>IF(Odds!G8="","",Odds!G8)</f>
        <v>Sweden</v>
      </c>
      <c r="V8" s="36" t="str">
        <f>INDEX(Odds!H:H,MATCH(U8,Odds!G:G,0))</f>
        <v>1/2</v>
      </c>
      <c r="W8" s="40">
        <f t="shared" si="0"/>
        <v>1</v>
      </c>
      <c r="X8" s="20" t="str">
        <f>INDEX(Match!Q:Q,MATCH(S8,Match!V:V,0))</f>
        <v>Sweden</v>
      </c>
      <c r="Y8" s="20">
        <f>INDEX(Match!G:G,MATCH(S8,Match!V:V,0))</f>
        <v>2</v>
      </c>
      <c r="Z8" s="20" t="str">
        <f>INDEX(Match!R:R,MATCH(S8,Match!V:V,0))</f>
        <v>Romania</v>
      </c>
      <c r="AA8" s="20">
        <f>INDEX(Match!H:H,MATCH(S8,Match!V:V,0))</f>
        <v>1</v>
      </c>
      <c r="AB8" s="8">
        <f>INDEX(Odds!K:K,MATCH(M8,Odds!G:G,0))</f>
        <v>1</v>
      </c>
      <c r="AE8" s="507" t="str">
        <f>IF(R8="","",INDEX(Odds!H:H,MATCH(R8,Odds!G:G,0)))</f>
        <v/>
      </c>
      <c r="AF8" s="507" t="str">
        <f>IF(INDEX(Table!S:S,MATCH(A8,Table!F:F,0))="N","N","")</f>
        <v/>
      </c>
      <c r="AG8" s="69" t="s">
        <v>351</v>
      </c>
      <c r="AH8" s="72">
        <f>INDEX(Picks!I:I,MATCH(AG8,Picks!A:A,0))</f>
        <v>6.35</v>
      </c>
      <c r="AI8" s="404">
        <f>INDEX(Weekly!I:I,MATCH(AG8,Weekly!E:E,0))</f>
        <v>2</v>
      </c>
      <c r="AJ8" s="69">
        <f>IF(AH8=-10,"",_xlfn.RANK.EQ(AH8,TopScores,0))</f>
        <v>7</v>
      </c>
      <c r="AL8" s="69" t="s">
        <v>268</v>
      </c>
      <c r="AM8" s="72">
        <f>INDEX(Picks!J:J,MATCH(AL8,Picks!A:A,0))</f>
        <v>10.854545454545452</v>
      </c>
      <c r="AN8" s="404">
        <f>INDEX(Weekly!I:I,MATCH(AL8,Weekly!E:E,0))</f>
        <v>1</v>
      </c>
      <c r="AO8" s="69">
        <f>IF(AM8="","",_xlfn.RANK.EQ(AM8,TopMaxScores,0))</f>
        <v>42</v>
      </c>
    </row>
    <row r="9" spans="1:43" ht="13.5" customHeight="1">
      <c r="A9" s="611" t="str">
        <f>A8</f>
        <v>Alan White</v>
      </c>
      <c r="B9" s="611"/>
      <c r="C9" s="646"/>
      <c r="D9" s="650"/>
      <c r="E9" s="612" t="str">
        <f t="shared" si="1"/>
        <v>Plymouth</v>
      </c>
      <c r="F9" s="606">
        <f>IF(M9="","",INDEX(Odds!C:C,MATCH(M9,Odds!G:G,0)))</f>
        <v>7</v>
      </c>
      <c r="G9" s="613">
        <f t="shared" si="2"/>
        <v>1.6153846153846154</v>
      </c>
      <c r="H9" s="614" t="str">
        <f t="shared" si="3"/>
        <v>x</v>
      </c>
      <c r="I9" s="615"/>
      <c r="J9" s="616"/>
      <c r="K9" s="348">
        <f>IF(J8="",0,1)</f>
        <v>1</v>
      </c>
      <c r="L9" s="348"/>
      <c r="M9" s="407" t="s">
        <v>554</v>
      </c>
      <c r="N9" s="628" t="str">
        <f>INDEX(Odds!H:H,MATCH(M9,Odds!G:G,0))</f>
        <v>8/13</v>
      </c>
      <c r="O9" s="629">
        <f>INDEX(Odds!I:I,MATCH(M9,Odds!G:G,0))</f>
        <v>1.6153846153846154</v>
      </c>
      <c r="P9" s="626">
        <f>INDEX(Odds!J:J,MATCH(M9,Odds!G:G,0))</f>
        <v>0</v>
      </c>
      <c r="Q9" s="627">
        <f t="shared" si="4"/>
        <v>0</v>
      </c>
      <c r="R9" s="504"/>
      <c r="S9" s="501" t="str">
        <f>IF(Match!B9="","",Match!V9)</f>
        <v xml:space="preserve">Turkey 0-1 France </v>
      </c>
      <c r="T9" s="88"/>
      <c r="U9" s="35" t="str">
        <f>IF(Odds!G9="","",Odds!G9)</f>
        <v>Turkey</v>
      </c>
      <c r="V9" s="36" t="str">
        <f>INDEX(Odds!H:H,MATCH(U9,Odds!G:G,0))</f>
        <v>5/1</v>
      </c>
      <c r="W9" s="40">
        <f t="shared" si="0"/>
        <v>0</v>
      </c>
      <c r="X9" s="20" t="str">
        <f>INDEX(Match!Q:Q,MATCH(S9,Match!V:V,0))</f>
        <v>Turkey</v>
      </c>
      <c r="Y9" s="20">
        <f>INDEX(Match!G:G,MATCH(S9,Match!V:V,0))</f>
        <v>0</v>
      </c>
      <c r="Z9" s="20" t="str">
        <f>INDEX(Match!R:R,MATCH(S9,Match!V:V,0))</f>
        <v>France</v>
      </c>
      <c r="AA9" s="20">
        <f>INDEX(Match!H:H,MATCH(S9,Match!V:V,0))</f>
        <v>1</v>
      </c>
      <c r="AB9" s="8">
        <f>INDEX(Odds!K:K,MATCH(M9,Odds!G:G,0))</f>
        <v>1</v>
      </c>
      <c r="AE9" s="507" t="str">
        <f>IF(R9="","",INDEX(Odds!H:H,MATCH(R9,Odds!G:G,0)))</f>
        <v/>
      </c>
      <c r="AF9" s="507" t="str">
        <f>IF(INDEX(Table!S:S,MATCH(A9,Table!F:F,0))="N","N","")</f>
        <v/>
      </c>
      <c r="AG9" s="69" t="s">
        <v>346</v>
      </c>
      <c r="AH9" s="72">
        <f>INDEX(Picks!I:I,MATCH(AG9,Picks!A:A,0))</f>
        <v>5.9399999999999995</v>
      </c>
      <c r="AI9" s="404">
        <f>INDEX(Weekly!I:I,MATCH(AG9,Weekly!E:E,0))</f>
        <v>2</v>
      </c>
      <c r="AJ9" s="69">
        <f>IF(AH9=-10,"",_xlfn.RANK.EQ(AH9,TopScores,0))</f>
        <v>8</v>
      </c>
      <c r="AL9" s="71" t="s">
        <v>414</v>
      </c>
      <c r="AM9" s="72">
        <f>INDEX(Picks!J:J,MATCH(AL9,Picks!A:A,0))</f>
        <v>10.854545454545455</v>
      </c>
      <c r="AN9" s="404">
        <f>INDEX(Weekly!I:I,MATCH(AL9,Weekly!E:E,0))</f>
        <v>1</v>
      </c>
      <c r="AO9" s="69">
        <f>IF(AM9="","",_xlfn.RANK.EQ(AM9,TopMaxScores,0))</f>
        <v>41</v>
      </c>
    </row>
    <row r="10" spans="1:43" ht="13.5" thickBot="1">
      <c r="A10" s="617" t="str">
        <f>A8</f>
        <v>Alan White</v>
      </c>
      <c r="B10" s="617"/>
      <c r="C10" s="647"/>
      <c r="D10" s="651"/>
      <c r="E10" s="618" t="str">
        <f t="shared" si="1"/>
        <v>Stockport</v>
      </c>
      <c r="F10" s="619">
        <f>IF(M10="","",INDEX(Odds!C:C,MATCH(M10,Odds!G:G,0)))</f>
        <v>7</v>
      </c>
      <c r="G10" s="620">
        <f t="shared" si="2"/>
        <v>1.3636363636363638</v>
      </c>
      <c r="H10" s="614" t="str">
        <f t="shared" si="3"/>
        <v>√</v>
      </c>
      <c r="I10" s="615"/>
      <c r="J10" s="616"/>
      <c r="K10" s="348"/>
      <c r="L10" s="348"/>
      <c r="M10" s="408" t="s">
        <v>645</v>
      </c>
      <c r="N10" s="630" t="str">
        <f>INDEX(Odds!H:H,MATCH(M10,Odds!G:G,0))</f>
        <v>4/11</v>
      </c>
      <c r="O10" s="631">
        <f>INDEX(Odds!I:I,MATCH(M10,Odds!G:G,0))</f>
        <v>1.3636363636363638</v>
      </c>
      <c r="P10" s="626">
        <f>INDEX(Odds!J:J,MATCH(M10,Odds!G:G,0))</f>
        <v>1</v>
      </c>
      <c r="Q10" s="632">
        <f t="shared" si="4"/>
        <v>1.3636363636363638</v>
      </c>
      <c r="R10" s="505"/>
      <c r="S10" s="501" t="str">
        <f>IF(Match!B10="","",Match!V10)</f>
        <v xml:space="preserve">Cambridge 1-1 Wimbledon </v>
      </c>
      <c r="T10" s="88"/>
      <c r="U10" s="35" t="str">
        <f>IF(Odds!G10="","",Odds!G10)</f>
        <v>Cambridge</v>
      </c>
      <c r="V10" s="36" t="str">
        <f>INDEX(Odds!H:H,MATCH(U10,Odds!G:G,0))</f>
        <v>4/5</v>
      </c>
      <c r="W10" s="40">
        <f t="shared" si="0"/>
        <v>0</v>
      </c>
      <c r="X10" s="20" t="str">
        <f>INDEX(Match!Q:Q,MATCH(S10,Match!V:V,0))</f>
        <v>Cambridge</v>
      </c>
      <c r="Y10" s="20">
        <f>INDEX(Match!G:G,MATCH(S10,Match!V:V,0))</f>
        <v>1</v>
      </c>
      <c r="Z10" s="20" t="str">
        <f>INDEX(Match!R:R,MATCH(S10,Match!V:V,0))</f>
        <v>Wimbledon</v>
      </c>
      <c r="AA10" s="20">
        <f>INDEX(Match!H:H,MATCH(S10,Match!V:V,0))</f>
        <v>1</v>
      </c>
      <c r="AB10" s="8">
        <f>INDEX(Odds!K:K,MATCH(M10,Odds!G:G,0))</f>
        <v>1</v>
      </c>
      <c r="AE10" s="508" t="str">
        <f>IF(R10="","",INDEX(Odds!H:H,MATCH(R10,Odds!G:G,0)))</f>
        <v/>
      </c>
      <c r="AF10" s="508" t="str">
        <f>IF(INDEX(Table!S:S,MATCH(A10,Table!F:F,0))="N","N","")</f>
        <v/>
      </c>
      <c r="AG10" s="69" t="s">
        <v>269</v>
      </c>
      <c r="AH10" s="72">
        <f>INDEX(Picks!I:I,MATCH(AG10,Picks!A:A,0))</f>
        <v>2.7100000000000009</v>
      </c>
      <c r="AI10" s="404">
        <f>INDEX(Weekly!I:I,MATCH(AG10,Weekly!E:E,0))</f>
        <v>2</v>
      </c>
      <c r="AJ10" s="69">
        <f>IF(AH10=-10,"",_xlfn.RANK.EQ(AH10,TopScores,0))</f>
        <v>9</v>
      </c>
      <c r="AL10" s="71" t="s">
        <v>286</v>
      </c>
      <c r="AM10" s="72">
        <f>INDEX(Picks!J:J,MATCH(AL10,Picks!A:A,0))</f>
        <v>11.059615384615384</v>
      </c>
      <c r="AN10" s="404">
        <f>INDEX(Weekly!I:I,MATCH(AL10,Weekly!E:E,0))</f>
        <v>1</v>
      </c>
      <c r="AO10" s="69">
        <f>IF(AM10="","",_xlfn.RANK.EQ(AM10,TopMaxScores,0))</f>
        <v>40</v>
      </c>
    </row>
    <row r="11" spans="1:43" ht="13.9" thickTop="1" thickBot="1">
      <c r="A11" s="604" t="str">
        <f>Results!B11</f>
        <v>Alex Griffin</v>
      </c>
      <c r="B11" s="604" t="str">
        <f>INDEX(Table!E:E,MATCH(A11,Table!F:F,0))</f>
        <v>C</v>
      </c>
      <c r="C11" s="645">
        <f>INDEX(Table!D:D,MATCH(A11,Table!F:F,0))</f>
        <v>5</v>
      </c>
      <c r="D11" s="649">
        <f>INDEX(Table!I:I,MATCH(A11,Table!F:F,0))</f>
        <v>-9.3671900826446262</v>
      </c>
      <c r="E11" s="605" t="str">
        <f t="shared" si="1"/>
        <v>Altrincham</v>
      </c>
      <c r="F11" s="606">
        <f>IF(M11="","",INDEX(Odds!C:C,MATCH(M11,Odds!G:G,0)))</f>
        <v>1</v>
      </c>
      <c r="G11" s="607">
        <f t="shared" si="2"/>
        <v>2.2000000000000002</v>
      </c>
      <c r="H11" s="608" t="str">
        <f t="shared" si="3"/>
        <v>√</v>
      </c>
      <c r="I11" s="609">
        <f>IF(M11="",-10,INDEX(Results!T:T,MATCH(A11,Results!V:V,0)))</f>
        <v>-4.8</v>
      </c>
      <c r="J11" s="610">
        <f>IF(M11="","",INDEX(Results!AI:AI,MATCH(A11,Results!V:V,0)))</f>
        <v>17.080000000000005</v>
      </c>
      <c r="K11" s="348" t="str">
        <f>IF(INDEX(Table!Q:Q,MATCH(A11,Table!F:F,0))="N","N","Y")</f>
        <v>Y</v>
      </c>
      <c r="L11" s="347">
        <f>INDEX(Picks!AJ:AJ,MATCH(A11,Picks!AG:AG,0))</f>
        <v>23</v>
      </c>
      <c r="M11" s="407" t="s">
        <v>617</v>
      </c>
      <c r="N11" s="624" t="str">
        <f>INDEX(Odds!H:H,MATCH(M11,Odds!G:G,0))</f>
        <v>6/5</v>
      </c>
      <c r="O11" s="625">
        <f>INDEX(Odds!I:I,MATCH(M11,Odds!G:G,0))</f>
        <v>2.2000000000000002</v>
      </c>
      <c r="P11" s="633">
        <f>INDEX(Odds!J:J,MATCH(M11,Odds!G:G,0))</f>
        <v>1</v>
      </c>
      <c r="Q11" s="627">
        <f t="shared" si="4"/>
        <v>2.2000000000000002</v>
      </c>
      <c r="R11" s="504"/>
      <c r="S11" s="501" t="str">
        <f>IF(Match!B11="","",Match!V11)</f>
        <v xml:space="preserve">Plymouth 0-1 Burton </v>
      </c>
      <c r="T11" s="88"/>
      <c r="U11" s="35" t="str">
        <f>IF(Odds!G11="","",Odds!G11)</f>
        <v>Plymouth</v>
      </c>
      <c r="V11" s="36" t="str">
        <f>INDEX(Odds!H:H,MATCH(U11,Odds!G:G,0))</f>
        <v>8/13</v>
      </c>
      <c r="W11" s="40">
        <f t="shared" si="0"/>
        <v>0</v>
      </c>
      <c r="X11" s="20" t="str">
        <f>INDEX(Match!Q:Q,MATCH(S11,Match!V:V,0))</f>
        <v>Plymouth</v>
      </c>
      <c r="Y11" s="20">
        <f>INDEX(Match!G:G,MATCH(S11,Match!V:V,0))</f>
        <v>0</v>
      </c>
      <c r="Z11" s="20" t="str">
        <f>INDEX(Match!R:R,MATCH(S11,Match!V:V,0))</f>
        <v>Burton</v>
      </c>
      <c r="AA11" s="20">
        <f>INDEX(Match!H:H,MATCH(S11,Match!V:V,0))</f>
        <v>1</v>
      </c>
      <c r="AB11" s="8">
        <f>INDEX(Odds!K:K,MATCH(M11,Odds!G:G,0))</f>
        <v>1</v>
      </c>
      <c r="AE11" s="507" t="str">
        <f>IF(R11="","",INDEX(Odds!H:H,MATCH(R11,Odds!G:G,0)))</f>
        <v/>
      </c>
      <c r="AF11" s="507" t="str">
        <f>IF(INDEX(Table!S:S,MATCH(A11,Table!F:F,0))="N","N","")</f>
        <v/>
      </c>
      <c r="AG11" s="69" t="s">
        <v>304</v>
      </c>
      <c r="AH11" s="72">
        <f>INDEX(Picks!I:I,MATCH(AG11,Picks!A:A,0))</f>
        <v>2.25</v>
      </c>
      <c r="AI11" s="404">
        <f>INDEX(Weekly!I:I,MATCH(AG11,Weekly!E:E,0))</f>
        <v>2</v>
      </c>
      <c r="AJ11" s="69">
        <f>IF(AH11=-10,"",_xlfn.RANK.EQ(AH11,TopScores,0))</f>
        <v>10</v>
      </c>
      <c r="AL11" s="71" t="s">
        <v>536</v>
      </c>
      <c r="AM11" s="72">
        <f>INDEX(Picks!J:J,MATCH(AL11,Picks!A:A,0))</f>
        <v>11.950000000000003</v>
      </c>
      <c r="AN11" s="404">
        <f>INDEX(Weekly!I:I,MATCH(AL11,Weekly!E:E,0))</f>
        <v>2</v>
      </c>
      <c r="AO11" s="69">
        <f>IF(AM11="","",_xlfn.RANK.EQ(AM11,TopMaxScores,0))</f>
        <v>39</v>
      </c>
    </row>
    <row r="12" spans="1:43">
      <c r="A12" s="611" t="str">
        <f>A11</f>
        <v>Alex Griffin</v>
      </c>
      <c r="B12" s="611"/>
      <c r="C12" s="646"/>
      <c r="D12" s="650"/>
      <c r="E12" s="612" t="str">
        <f t="shared" si="1"/>
        <v>Southend</v>
      </c>
      <c r="F12" s="606">
        <f>IF(M12="","",INDEX(Odds!C:C,MATCH(M12,Odds!G:G,0)))</f>
        <v>1</v>
      </c>
      <c r="G12" s="613">
        <f t="shared" si="2"/>
        <v>1.75</v>
      </c>
      <c r="H12" s="614" t="str">
        <f t="shared" si="3"/>
        <v>x</v>
      </c>
      <c r="I12" s="615"/>
      <c r="J12" s="616"/>
      <c r="K12" s="348">
        <f>IF(J11="",0,1)</f>
        <v>1</v>
      </c>
      <c r="L12" s="348"/>
      <c r="M12" s="407" t="s">
        <v>621</v>
      </c>
      <c r="N12" s="628" t="str">
        <f>INDEX(Odds!H:H,MATCH(M12,Odds!G:G,0))</f>
        <v>3/4</v>
      </c>
      <c r="O12" s="629">
        <f>INDEX(Odds!I:I,MATCH(M12,Odds!G:G,0))</f>
        <v>1.75</v>
      </c>
      <c r="P12" s="626">
        <f>INDEX(Odds!J:J,MATCH(M12,Odds!G:G,0))</f>
        <v>0</v>
      </c>
      <c r="Q12" s="627">
        <f t="shared" si="4"/>
        <v>0</v>
      </c>
      <c r="R12" s="504"/>
      <c r="S12" s="501" t="str">
        <f>IF(Match!B12="","",Match!V12)</f>
        <v xml:space="preserve">Stockport 1-0 Peterbro </v>
      </c>
      <c r="T12" s="88"/>
      <c r="U12" s="35" t="str">
        <f>IF(Odds!G12="","",Odds!G12)</f>
        <v>Stockport</v>
      </c>
      <c r="V12" s="36" t="str">
        <f>INDEX(Odds!H:H,MATCH(U12,Odds!G:G,0))</f>
        <v>4/11</v>
      </c>
      <c r="W12" s="40">
        <f t="shared" si="0"/>
        <v>1</v>
      </c>
      <c r="X12" s="20" t="str">
        <f>INDEX(Match!Q:Q,MATCH(S12,Match!V:V,0))</f>
        <v>Stockport</v>
      </c>
      <c r="Y12" s="20">
        <f>INDEX(Match!G:G,MATCH(S12,Match!V:V,0))</f>
        <v>1</v>
      </c>
      <c r="Z12" s="20" t="str">
        <f>INDEX(Match!R:R,MATCH(S12,Match!V:V,0))</f>
        <v>Peterbro</v>
      </c>
      <c r="AA12" s="20">
        <f>INDEX(Match!H:H,MATCH(S12,Match!V:V,0))</f>
        <v>0</v>
      </c>
      <c r="AB12" s="8">
        <f>INDEX(Odds!K:K,MATCH(M12,Odds!G:G,0))</f>
        <v>1</v>
      </c>
      <c r="AE12" s="507" t="str">
        <f>IF(R12="","",INDEX(Odds!H:H,MATCH(R12,Odds!G:G,0)))</f>
        <v/>
      </c>
      <c r="AF12" s="507" t="str">
        <f>IF(INDEX(Table!S:S,MATCH(A12,Table!F:F,0))="N","N","")</f>
        <v/>
      </c>
      <c r="AG12" s="69" t="s">
        <v>482</v>
      </c>
      <c r="AH12" s="72">
        <f>INDEX(Picks!I:I,MATCH(AG12,Picks!A:A,0))</f>
        <v>0.59090909090909083</v>
      </c>
      <c r="AI12" s="404">
        <f>INDEX(Weekly!I:I,MATCH(AG12,Weekly!E:E,0))</f>
        <v>2</v>
      </c>
      <c r="AJ12" s="69">
        <f>IF(AH12=-10,"",_xlfn.RANK.EQ(AH12,TopScores,0))</f>
        <v>11</v>
      </c>
      <c r="AL12" s="69" t="s">
        <v>275</v>
      </c>
      <c r="AM12" s="72">
        <f>INDEX(Picks!J:J,MATCH(AL12,Picks!A:A,0))</f>
        <v>11.972027972027973</v>
      </c>
      <c r="AN12" s="404">
        <f>INDEX(Weekly!I:I,MATCH(AL12,Weekly!E:E,0))</f>
        <v>1</v>
      </c>
      <c r="AO12" s="69">
        <f>IF(AM12="","",_xlfn.RANK.EQ(AM12,TopMaxScores,0))</f>
        <v>38</v>
      </c>
    </row>
    <row r="13" spans="1:43" ht="13.5" thickBot="1">
      <c r="A13" s="617" t="str">
        <f>A11</f>
        <v>Alex Griffin</v>
      </c>
      <c r="B13" s="617"/>
      <c r="C13" s="647"/>
      <c r="D13" s="651"/>
      <c r="E13" s="618" t="str">
        <f>IF(M13="","",M13)</f>
        <v>Fleetwood</v>
      </c>
      <c r="F13" s="619">
        <f>IF(M13="","",INDEX(Odds!C:C,MATCH(M13,Odds!G:G,0)))</f>
        <v>7</v>
      </c>
      <c r="G13" s="620">
        <f t="shared" si="2"/>
        <v>1.85</v>
      </c>
      <c r="H13" s="614" t="str">
        <f t="shared" si="3"/>
        <v>x</v>
      </c>
      <c r="I13" s="615"/>
      <c r="J13" s="616"/>
      <c r="K13" s="348"/>
      <c r="L13" s="348"/>
      <c r="M13" s="408" t="s">
        <v>593</v>
      </c>
      <c r="N13" s="630" t="str">
        <f>INDEX(Odds!H:H,MATCH(M13,Odds!G:G,0))</f>
        <v>17/20</v>
      </c>
      <c r="O13" s="631">
        <f>INDEX(Odds!I:I,MATCH(M13,Odds!G:G,0))</f>
        <v>1.85</v>
      </c>
      <c r="P13" s="626">
        <f>INDEX(Odds!J:J,MATCH(M13,Odds!G:G,0))</f>
        <v>0</v>
      </c>
      <c r="Q13" s="632">
        <f t="shared" si="4"/>
        <v>0</v>
      </c>
      <c r="R13" s="505"/>
      <c r="S13" s="501" t="str">
        <f>IF(Match!B13="","",Match!V13)</f>
        <v xml:space="preserve">Wycombe 2-2 Reading </v>
      </c>
      <c r="T13" s="88"/>
      <c r="U13" s="35" t="str">
        <f>IF(Odds!G13="","",Odds!G13)</f>
        <v>Wycombe</v>
      </c>
      <c r="V13" s="36" t="str">
        <f>INDEX(Odds!H:H,MATCH(U13,Odds!G:G,0))</f>
        <v>29/20</v>
      </c>
      <c r="W13" s="40">
        <f t="shared" si="0"/>
        <v>0</v>
      </c>
      <c r="X13" s="20" t="str">
        <f>INDEX(Match!Q:Q,MATCH(S13,Match!V:V,0))</f>
        <v>Wycombe</v>
      </c>
      <c r="Y13" s="20">
        <f>INDEX(Match!G:G,MATCH(S13,Match!V:V,0))</f>
        <v>2</v>
      </c>
      <c r="Z13" s="20" t="str">
        <f>INDEX(Match!R:R,MATCH(S13,Match!V:V,0))</f>
        <v>Reading</v>
      </c>
      <c r="AA13" s="20">
        <f>INDEX(Match!H:H,MATCH(S13,Match!V:V,0))</f>
        <v>2</v>
      </c>
      <c r="AB13" s="8">
        <f>INDEX(Odds!K:K,MATCH(M13,Odds!G:G,0))</f>
        <v>1</v>
      </c>
      <c r="AE13" s="508" t="str">
        <f>IF(R13="","",INDEX(Odds!H:H,MATCH(R13,Odds!G:G,0)))</f>
        <v/>
      </c>
      <c r="AF13" s="508" t="str">
        <f>IF(INDEX(Table!S:S,MATCH(A13,Table!F:F,0))="N","N","")</f>
        <v/>
      </c>
      <c r="AG13" s="69" t="s">
        <v>347</v>
      </c>
      <c r="AH13" s="72">
        <f>INDEX(Picks!I:I,MATCH(AG13,Picks!A:A,0))</f>
        <v>-0.55454545454545467</v>
      </c>
      <c r="AI13" s="404">
        <f>INDEX(Weekly!I:I,MATCH(AG13,Weekly!E:E,0))</f>
        <v>2</v>
      </c>
      <c r="AJ13" s="69">
        <f>IF(AH13=-10,"",_xlfn.RANK.EQ(AH13,TopScores,0))</f>
        <v>12</v>
      </c>
      <c r="AL13" s="69" t="s">
        <v>276</v>
      </c>
      <c r="AM13" s="72">
        <f>INDEX(Picks!J:J,MATCH(AL13,Picks!A:A,0))</f>
        <v>12.498076923076923</v>
      </c>
      <c r="AN13" s="404">
        <f>INDEX(Weekly!I:I,MATCH(AL13,Weekly!E:E,0))</f>
        <v>0</v>
      </c>
      <c r="AO13" s="69">
        <f>IF(AM13="","",_xlfn.RANK.EQ(AM13,TopMaxScores,0))</f>
        <v>37</v>
      </c>
    </row>
    <row r="14" spans="1:43" ht="13.9" thickTop="1" thickBot="1">
      <c r="A14" s="604" t="str">
        <f>Results!B14</f>
        <v>Alick Rocca</v>
      </c>
      <c r="B14" s="604" t="str">
        <f>INDEX(Table!E:E,MATCH(A14,Table!F:F,0))</f>
        <v>C</v>
      </c>
      <c r="C14" s="645">
        <f>INDEX(Table!D:D,MATCH(A14,Table!F:F,0))</f>
        <v>3</v>
      </c>
      <c r="D14" s="649">
        <f>INDEX(Table!I:I,MATCH(A14,Table!F:F,0))</f>
        <v>-4.8249999999999993</v>
      </c>
      <c r="E14" s="605" t="str">
        <f t="shared" si="1"/>
        <v>Wycombe draw</v>
      </c>
      <c r="F14" s="606">
        <f>IF(M14="","",INDEX(Odds!C:C,MATCH(M14,Odds!G:G,0)))</f>
        <v>7</v>
      </c>
      <c r="G14" s="607">
        <f t="shared" si="2"/>
        <v>3.4</v>
      </c>
      <c r="H14" s="608" t="str">
        <f t="shared" si="3"/>
        <v>√</v>
      </c>
      <c r="I14" s="609">
        <f>IF(M14="",-10,INDEX(Results!T:T,MATCH(A14,Results!V:V,0)))</f>
        <v>9.6000000000000014</v>
      </c>
      <c r="J14" s="610">
        <f>IF(M14="","",INDEX(Results!AI:AI,MATCH(A14,Results!V:V,0)))</f>
        <v>72.960000000000008</v>
      </c>
      <c r="K14" s="348" t="str">
        <f>IF(INDEX(Table!Q:Q,MATCH(A14,Table!F:F,0))="N","N","Y")</f>
        <v>Y</v>
      </c>
      <c r="L14" s="347">
        <f>INDEX(Picks!AJ:AJ,MATCH(A14,Picks!AG:AG,0))</f>
        <v>4</v>
      </c>
      <c r="M14" s="407" t="s">
        <v>639</v>
      </c>
      <c r="N14" s="624" t="str">
        <f>INDEX(Odds!H:H,MATCH(M14,Odds!G:G,0))</f>
        <v>12/5</v>
      </c>
      <c r="O14" s="625">
        <f>INDEX(Odds!I:I,MATCH(M14,Odds!G:G,0))</f>
        <v>3.4</v>
      </c>
      <c r="P14" s="633">
        <f>INDEX(Odds!J:J,MATCH(M14,Odds!G:G,0))</f>
        <v>1</v>
      </c>
      <c r="Q14" s="627">
        <f t="shared" si="4"/>
        <v>3.4</v>
      </c>
      <c r="R14" s="504"/>
      <c r="S14" s="501" t="str">
        <f>IF(Match!B14="","",Match!V14)</f>
        <v xml:space="preserve">Bristol R 1-0 Exeter </v>
      </c>
      <c r="T14" s="88"/>
      <c r="U14" s="35" t="str">
        <f>IF(Odds!G14="","",Odds!G14)</f>
        <v>Bristol R</v>
      </c>
      <c r="V14" s="36" t="str">
        <f>INDEX(Odds!H:H,MATCH(U14,Odds!G:G,0))</f>
        <v>8/11</v>
      </c>
      <c r="W14" s="40">
        <f t="shared" si="0"/>
        <v>1</v>
      </c>
      <c r="X14" s="20" t="str">
        <f>INDEX(Match!Q:Q,MATCH(S14,Match!V:V,0))</f>
        <v>Bristol R</v>
      </c>
      <c r="Y14" s="20">
        <f>INDEX(Match!G:G,MATCH(S14,Match!V:V,0))</f>
        <v>1</v>
      </c>
      <c r="Z14" s="20" t="str">
        <f>INDEX(Match!R:R,MATCH(S14,Match!V:V,0))</f>
        <v>Exeter</v>
      </c>
      <c r="AA14" s="20">
        <f>INDEX(Match!H:H,MATCH(S14,Match!V:V,0))</f>
        <v>0</v>
      </c>
      <c r="AB14" s="8">
        <f>INDEX(Odds!K:K,MATCH(M14,Odds!G:G,0))</f>
        <v>1</v>
      </c>
      <c r="AE14" s="507" t="str">
        <f>IF(R14="","",INDEX(Odds!H:H,MATCH(R14,Odds!G:G,0)))</f>
        <v/>
      </c>
      <c r="AF14" s="507" t="str">
        <f>IF(INDEX(Table!S:S,MATCH(A14,Table!F:F,0))="N","N","")</f>
        <v/>
      </c>
      <c r="AG14" s="69" t="s">
        <v>536</v>
      </c>
      <c r="AH14" s="72">
        <f>INDEX(Picks!I:I,MATCH(AG14,Picks!A:A,0))</f>
        <v>-0.875</v>
      </c>
      <c r="AI14" s="404">
        <f>INDEX(Weekly!I:I,MATCH(AG14,Weekly!E:E,0))</f>
        <v>2</v>
      </c>
      <c r="AJ14" s="69">
        <f>IF(AH14=-10,"",_xlfn.RANK.EQ(AH14,TopScores,0))</f>
        <v>13</v>
      </c>
      <c r="AL14" s="71" t="s">
        <v>488</v>
      </c>
      <c r="AM14" s="72">
        <f>INDEX(Picks!J:J,MATCH(AL14,Picks!A:A,0))</f>
        <v>12.545909090909092</v>
      </c>
      <c r="AN14" s="404">
        <f>INDEX(Weekly!I:I,MATCH(AL14,Weekly!E:E,0))</f>
        <v>1</v>
      </c>
      <c r="AO14" s="69">
        <f>IF(AM14="","",_xlfn.RANK.EQ(AM14,TopMaxScores,0))</f>
        <v>36</v>
      </c>
    </row>
    <row r="15" spans="1:43">
      <c r="A15" s="611" t="str">
        <f>A14</f>
        <v>Alick Rocca</v>
      </c>
      <c r="B15" s="611"/>
      <c r="C15" s="646"/>
      <c r="D15" s="650"/>
      <c r="E15" s="612" t="str">
        <f t="shared" si="1"/>
        <v>Oldham draw</v>
      </c>
      <c r="F15" s="606">
        <f>IF(M15="","",INDEX(Odds!C:C,MATCH(M15,Odds!G:G,0)))</f>
        <v>7</v>
      </c>
      <c r="G15" s="613">
        <f t="shared" si="2"/>
        <v>3.6</v>
      </c>
      <c r="H15" s="614" t="str">
        <f t="shared" si="3"/>
        <v>x</v>
      </c>
      <c r="I15" s="615"/>
      <c r="J15" s="616"/>
      <c r="K15" s="348">
        <f>IF(J14="",0,1)</f>
        <v>1</v>
      </c>
      <c r="L15" s="348"/>
      <c r="M15" s="407" t="s">
        <v>640</v>
      </c>
      <c r="N15" s="628" t="str">
        <f>INDEX(Odds!H:H,MATCH(M15,Odds!G:G,0))</f>
        <v>13/5</v>
      </c>
      <c r="O15" s="629">
        <f>INDEX(Odds!I:I,MATCH(M15,Odds!G:G,0))</f>
        <v>3.6</v>
      </c>
      <c r="P15" s="626">
        <f>INDEX(Odds!J:J,MATCH(M15,Odds!G:G,0))</f>
        <v>0</v>
      </c>
      <c r="Q15" s="627">
        <f t="shared" si="4"/>
        <v>0</v>
      </c>
      <c r="R15" s="504"/>
      <c r="S15" s="501" t="str">
        <f>IF(Match!B15="","",Match!V15)</f>
        <v xml:space="preserve">Cheltenham 2-1 Chesterfield </v>
      </c>
      <c r="T15" s="88"/>
      <c r="U15" s="35" t="str">
        <f>IF(Odds!G15="","",Odds!G15)</f>
        <v>Cheltenham</v>
      </c>
      <c r="V15" s="36" t="str">
        <f>INDEX(Odds!H:H,MATCH(U15,Odds!G:G,0))</f>
        <v>19/10</v>
      </c>
      <c r="W15" s="40">
        <f t="shared" si="0"/>
        <v>1</v>
      </c>
      <c r="X15" s="20" t="str">
        <f>INDEX(Match!Q:Q,MATCH(S15,Match!V:V,0))</f>
        <v>Cheltenham</v>
      </c>
      <c r="Y15" s="20">
        <f>INDEX(Match!G:G,MATCH(S15,Match!V:V,0))</f>
        <v>2</v>
      </c>
      <c r="Z15" s="20" t="str">
        <f>INDEX(Match!R:R,MATCH(S15,Match!V:V,0))</f>
        <v>Chesterfield</v>
      </c>
      <c r="AA15" s="20">
        <f>INDEX(Match!H:H,MATCH(S15,Match!V:V,0))</f>
        <v>1</v>
      </c>
      <c r="AB15" s="8">
        <f>INDEX(Odds!K:K,MATCH(M15,Odds!G:G,0))</f>
        <v>1</v>
      </c>
      <c r="AE15" s="507" t="str">
        <f>IF(R15="","",INDEX(Odds!H:H,MATCH(R15,Odds!G:G,0)))</f>
        <v/>
      </c>
      <c r="AF15" s="507" t="str">
        <f>IF(INDEX(Table!S:S,MATCH(A15,Table!F:F,0))="N","N","")</f>
        <v/>
      </c>
      <c r="AG15" s="69" t="s">
        <v>297</v>
      </c>
      <c r="AH15" s="72">
        <f>INDEX(Picks!I:I,MATCH(AG15,Picks!A:A,0))</f>
        <v>-1.4000000000000004</v>
      </c>
      <c r="AI15" s="404">
        <f>INDEX(Weekly!I:I,MATCH(AG15,Weekly!E:E,0))</f>
        <v>2</v>
      </c>
      <c r="AJ15" s="69">
        <f>IF(AH15=-10,"",_xlfn.RANK.EQ(AH15,TopScores,0))</f>
        <v>14</v>
      </c>
      <c r="AL15" s="71" t="s">
        <v>267</v>
      </c>
      <c r="AM15" s="72">
        <f>INDEX(Picks!J:J,MATCH(AL15,Picks!A:A,0))</f>
        <v>13.755244755244753</v>
      </c>
      <c r="AN15" s="404">
        <f>INDEX(Weekly!I:I,MATCH(AL15,Weekly!E:E,0))</f>
        <v>1</v>
      </c>
      <c r="AO15" s="69">
        <f>IF(AM15="","",_xlfn.RANK.EQ(AM15,TopMaxScores,0))</f>
        <v>35</v>
      </c>
    </row>
    <row r="16" spans="1:43" ht="13.5" thickBot="1">
      <c r="A16" s="617" t="str">
        <f>A14</f>
        <v>Alick Rocca</v>
      </c>
      <c r="B16" s="617"/>
      <c r="C16" s="647"/>
      <c r="D16" s="651"/>
      <c r="E16" s="618" t="str">
        <f t="shared" si="1"/>
        <v>Shrewsbury draw</v>
      </c>
      <c r="F16" s="619">
        <f>IF(M16="","",INDEX(Odds!C:C,MATCH(M16,Odds!G:G,0)))</f>
        <v>7</v>
      </c>
      <c r="G16" s="620">
        <f t="shared" si="2"/>
        <v>3</v>
      </c>
      <c r="H16" s="614" t="str">
        <f t="shared" si="3"/>
        <v>√</v>
      </c>
      <c r="I16" s="615"/>
      <c r="J16" s="616"/>
      <c r="K16" s="348"/>
      <c r="L16" s="348"/>
      <c r="M16" s="408" t="s">
        <v>641</v>
      </c>
      <c r="N16" s="630" t="str">
        <f>INDEX(Odds!H:H,MATCH(M16,Odds!G:G,0))</f>
        <v>2/1</v>
      </c>
      <c r="O16" s="631">
        <f>INDEX(Odds!I:I,MATCH(M16,Odds!G:G,0))</f>
        <v>3</v>
      </c>
      <c r="P16" s="626">
        <f>INDEX(Odds!J:J,MATCH(M16,Odds!G:G,0))</f>
        <v>1</v>
      </c>
      <c r="Q16" s="632">
        <f t="shared" si="4"/>
        <v>3</v>
      </c>
      <c r="R16" s="505"/>
      <c r="S16" s="501" t="str">
        <f>IF(Match!B16="","",Match!V16)</f>
        <v xml:space="preserve">Fleetwood 1-2 Rochdale </v>
      </c>
      <c r="T16" s="88"/>
      <c r="U16" s="35" t="str">
        <f>IF(Odds!G16="","",Odds!G16)</f>
        <v>Fleetwood</v>
      </c>
      <c r="V16" s="36" t="str">
        <f>INDEX(Odds!H:H,MATCH(U16,Odds!G:G,0))</f>
        <v>17/20</v>
      </c>
      <c r="W16" s="40">
        <f t="shared" si="0"/>
        <v>0</v>
      </c>
      <c r="X16" s="20" t="str">
        <f>INDEX(Match!Q:Q,MATCH(S16,Match!V:V,0))</f>
        <v>Fleetwood</v>
      </c>
      <c r="Y16" s="20">
        <f>INDEX(Match!G:G,MATCH(S16,Match!V:V,0))</f>
        <v>1</v>
      </c>
      <c r="Z16" s="20" t="str">
        <f>INDEX(Match!R:R,MATCH(S16,Match!V:V,0))</f>
        <v>Rochdale</v>
      </c>
      <c r="AA16" s="20">
        <f>INDEX(Match!H:H,MATCH(S16,Match!V:V,0))</f>
        <v>2</v>
      </c>
      <c r="AB16" s="8">
        <f>INDEX(Odds!K:K,MATCH(M16,Odds!G:G,0))</f>
        <v>1</v>
      </c>
      <c r="AE16" s="508" t="str">
        <f>IF(R16="","",INDEX(Odds!H:H,MATCH(R16,Odds!G:G,0)))</f>
        <v/>
      </c>
      <c r="AF16" s="508" t="str">
        <f>IF(INDEX(Table!S:S,MATCH(A16,Table!F:F,0))="N","N","")</f>
        <v/>
      </c>
      <c r="AG16" s="69" t="s">
        <v>481</v>
      </c>
      <c r="AH16" s="72">
        <f>INDEX(Picks!I:I,MATCH(AG16,Picks!A:A,0))</f>
        <v>-1.4615384615384617</v>
      </c>
      <c r="AI16" s="404">
        <f>INDEX(Weekly!I:I,MATCH(AG16,Weekly!E:E,0))</f>
        <v>2</v>
      </c>
      <c r="AJ16" s="69">
        <f>IF(AH16=-10,"",_xlfn.RANK.EQ(AH16,TopScores,0))</f>
        <v>15</v>
      </c>
      <c r="AL16" s="69" t="s">
        <v>273</v>
      </c>
      <c r="AM16" s="72">
        <f>INDEX(Picks!J:J,MATCH(AL16,Picks!A:A,0))</f>
        <v>14.65625</v>
      </c>
      <c r="AN16" s="404">
        <f>INDEX(Weekly!I:I,MATCH(AL16,Weekly!E:E,0))</f>
        <v>3</v>
      </c>
      <c r="AO16" s="69">
        <f>IF(AM16="","",_xlfn.RANK.EQ(AM16,TopMaxScores,0))</f>
        <v>34</v>
      </c>
    </row>
    <row r="17" spans="1:41" ht="13.9" thickTop="1" thickBot="1">
      <c r="A17" s="604" t="str">
        <f>Results!B17</f>
        <v>Andy White</v>
      </c>
      <c r="B17" s="604" t="str">
        <f>INDEX(Table!E:E,MATCH(A17,Table!F:F,0))</f>
        <v>C</v>
      </c>
      <c r="C17" s="645">
        <f>INDEX(Table!D:D,MATCH(A17,Table!F:F,0))</f>
        <v>18</v>
      </c>
      <c r="D17" s="649">
        <f>INDEX(Table!I:I,MATCH(A17,Table!F:F,0))</f>
        <v>-31.590909090909093</v>
      </c>
      <c r="E17" s="605" t="str">
        <f t="shared" si="1"/>
        <v>Italy</v>
      </c>
      <c r="F17" s="606">
        <f>IF(M17="","",INDEX(Odds!C:C,MATCH(M17,Odds!G:G,0)))</f>
        <v>6</v>
      </c>
      <c r="G17" s="607">
        <f t="shared" si="2"/>
        <v>2.1</v>
      </c>
      <c r="H17" s="608" t="str">
        <f t="shared" si="3"/>
        <v>x</v>
      </c>
      <c r="I17" s="609">
        <f>IF(M17="",-10,INDEX(Results!T:T,MATCH(A17,Results!V:V,0)))</f>
        <v>-4.5999999999999996</v>
      </c>
      <c r="J17" s="610">
        <f>IF(M17="","",INDEX(Results!AI:AI,MATCH(A17,Results!V:V,0)))</f>
        <v>29.944000000000003</v>
      </c>
      <c r="K17" s="348" t="str">
        <f>IF(INDEX(Table!Q:Q,MATCH(A17,Table!F:F,0))="N","N","Y")</f>
        <v>Y</v>
      </c>
      <c r="L17" s="347">
        <f>INDEX(Picks!AJ:AJ,MATCH(A17,Picks!AG:AG,0))</f>
        <v>20</v>
      </c>
      <c r="M17" s="407" t="s">
        <v>582</v>
      </c>
      <c r="N17" s="624" t="str">
        <f>INDEX(Odds!H:H,MATCH(M17,Odds!G:G,0))</f>
        <v>11/10</v>
      </c>
      <c r="O17" s="625">
        <f>INDEX(Odds!I:I,MATCH(M17,Odds!G:G,0))</f>
        <v>2.1</v>
      </c>
      <c r="P17" s="633">
        <f>INDEX(Odds!J:J,MATCH(M17,Odds!G:G,0))</f>
        <v>0</v>
      </c>
      <c r="Q17" s="627">
        <f t="shared" si="4"/>
        <v>0</v>
      </c>
      <c r="R17" s="504"/>
      <c r="S17" s="501" t="str">
        <f>IF(Match!B17="","",Match!V17)</f>
        <v xml:space="preserve">Newport 2-1 Grimsby </v>
      </c>
      <c r="T17" s="88"/>
      <c r="U17" s="35" t="str">
        <f>IF(Odds!G17="","",Odds!G17)</f>
        <v>Newport</v>
      </c>
      <c r="V17" s="36" t="str">
        <f>INDEX(Odds!H:H,MATCH(U17,Odds!G:G,0))</f>
        <v>3/1</v>
      </c>
      <c r="W17" s="40">
        <f t="shared" si="0"/>
        <v>1</v>
      </c>
      <c r="X17" s="20" t="str">
        <f>INDEX(Match!Q:Q,MATCH(S17,Match!V:V,0))</f>
        <v>Newport</v>
      </c>
      <c r="Y17" s="20">
        <f>INDEX(Match!G:G,MATCH(S17,Match!V:V,0))</f>
        <v>2</v>
      </c>
      <c r="Z17" s="20" t="str">
        <f>INDEX(Match!R:R,MATCH(S17,Match!V:V,0))</f>
        <v>Grimsby</v>
      </c>
      <c r="AA17" s="20">
        <f>INDEX(Match!H:H,MATCH(S17,Match!V:V,0))</f>
        <v>1</v>
      </c>
      <c r="AB17" s="8">
        <f>INDEX(Odds!K:K,MATCH(M17,Odds!G:G,0))</f>
        <v>1</v>
      </c>
      <c r="AE17" s="507" t="str">
        <f>IF(R17="","",INDEX(Odds!H:H,MATCH(R17,Odds!G:G,0)))</f>
        <v/>
      </c>
      <c r="AF17" s="507" t="str">
        <f>IF(INDEX(Table!S:S,MATCH(A17,Table!F:F,0))="N","N","")</f>
        <v/>
      </c>
      <c r="AG17" s="69" t="s">
        <v>289</v>
      </c>
      <c r="AH17" s="72">
        <f>INDEX(Picks!I:I,MATCH(AG17,Picks!A:A,0))</f>
        <v>-1.75</v>
      </c>
      <c r="AI17" s="404">
        <f>INDEX(Weekly!I:I,MATCH(AG17,Weekly!E:E,0))</f>
        <v>2</v>
      </c>
      <c r="AJ17" s="69">
        <f>IF(AH17=-10,"",_xlfn.RANK.EQ(AH17,TopScores,0))</f>
        <v>16</v>
      </c>
      <c r="AL17" s="71" t="s">
        <v>284</v>
      </c>
      <c r="AM17" s="72">
        <f>INDEX(Picks!J:J,MATCH(AL17,Picks!A:A,0))</f>
        <v>15.625</v>
      </c>
      <c r="AN17" s="404">
        <f>INDEX(Weekly!I:I,MATCH(AL17,Weekly!E:E,0))</f>
        <v>3</v>
      </c>
      <c r="AO17" s="69">
        <f>IF(AM17="","",_xlfn.RANK.EQ(AM17,TopMaxScores,0))</f>
        <v>33</v>
      </c>
    </row>
    <row r="18" spans="1:41">
      <c r="A18" s="611" t="str">
        <f>A17</f>
        <v>Andy White</v>
      </c>
      <c r="B18" s="611"/>
      <c r="C18" s="646"/>
      <c r="D18" s="650"/>
      <c r="E18" s="612" t="str">
        <f>IF(M18="","",M18)</f>
        <v>Spain</v>
      </c>
      <c r="F18" s="606">
        <f>IF(M18="","",INDEX(Odds!C:C,MATCH(M18,Odds!G:G,0)))</f>
        <v>7</v>
      </c>
      <c r="G18" s="613">
        <f t="shared" si="2"/>
        <v>2.4</v>
      </c>
      <c r="H18" s="614" t="str">
        <f t="shared" si="3"/>
        <v>√</v>
      </c>
      <c r="I18" s="615"/>
      <c r="J18" s="616"/>
      <c r="K18" s="348">
        <f>IF(J17="",0,1)</f>
        <v>1</v>
      </c>
      <c r="L18" s="348"/>
      <c r="M18" s="407" t="s">
        <v>601</v>
      </c>
      <c r="N18" s="628" t="str">
        <f>INDEX(Odds!H:H,MATCH(M18,Odds!G:G,0))</f>
        <v>7/5</v>
      </c>
      <c r="O18" s="629">
        <f>INDEX(Odds!I:I,MATCH(M18,Odds!G:G,0))</f>
        <v>2.4</v>
      </c>
      <c r="P18" s="626">
        <f>INDEX(Odds!J:J,MATCH(M18,Odds!G:G,0))</f>
        <v>1</v>
      </c>
      <c r="Q18" s="627">
        <f t="shared" si="4"/>
        <v>2.4</v>
      </c>
      <c r="R18" s="504"/>
      <c r="S18" s="501" t="str">
        <f>IF(Match!B18="","",Match!V18)</f>
        <v xml:space="preserve">Oldham 1-4 Salford </v>
      </c>
      <c r="T18" s="88"/>
      <c r="U18" s="35" t="str">
        <f>IF(Odds!G18="","",Odds!G18)</f>
        <v>Oldham</v>
      </c>
      <c r="V18" s="36" t="str">
        <f>INDEX(Odds!H:H,MATCH(U18,Odds!G:G,0))</f>
        <v>6/4</v>
      </c>
      <c r="W18" s="40">
        <f t="shared" si="0"/>
        <v>0</v>
      </c>
      <c r="X18" s="20" t="str">
        <f>INDEX(Match!Q:Q,MATCH(S18,Match!V:V,0))</f>
        <v>Oldham</v>
      </c>
      <c r="Y18" s="20">
        <f>INDEX(Match!G:G,MATCH(S18,Match!V:V,0))</f>
        <v>1</v>
      </c>
      <c r="Z18" s="20" t="str">
        <f>INDEX(Match!R:R,MATCH(S18,Match!V:V,0))</f>
        <v>Salford</v>
      </c>
      <c r="AA18" s="20">
        <f>INDEX(Match!H:H,MATCH(S18,Match!V:V,0))</f>
        <v>4</v>
      </c>
      <c r="AB18" s="8">
        <f>INDEX(Odds!K:K,MATCH(M18,Odds!G:G,0))</f>
        <v>1</v>
      </c>
      <c r="AE18" s="507" t="str">
        <f>IF(R18="","",INDEX(Odds!H:H,MATCH(R18,Odds!G:G,0)))</f>
        <v/>
      </c>
      <c r="AF18" s="507" t="str">
        <f>IF(INDEX(Table!S:S,MATCH(A18,Table!F:F,0))="N","N","")</f>
        <v/>
      </c>
      <c r="AG18" s="69" t="s">
        <v>349</v>
      </c>
      <c r="AH18" s="72">
        <f>INDEX(Picks!I:I,MATCH(AG18,Picks!A:A,0))</f>
        <v>-2.0909090909090899</v>
      </c>
      <c r="AI18" s="404">
        <f>INDEX(Weekly!I:I,MATCH(AG18,Weekly!E:E,0))</f>
        <v>2</v>
      </c>
      <c r="AJ18" s="69">
        <f>IF(AH18=-10,"",_xlfn.RANK.EQ(AH18,TopScores,0))</f>
        <v>17</v>
      </c>
      <c r="AL18" s="71" t="s">
        <v>283</v>
      </c>
      <c r="AM18" s="72">
        <f>INDEX(Picks!J:J,MATCH(AL18,Picks!A:A,0))</f>
        <v>15.706818181818178</v>
      </c>
      <c r="AN18" s="404">
        <f>INDEX(Weekly!I:I,MATCH(AL18,Weekly!E:E,0))</f>
        <v>1</v>
      </c>
      <c r="AO18" s="69">
        <f>IF(AM18="","",_xlfn.RANK.EQ(AM18,TopMaxScores,0))</f>
        <v>32</v>
      </c>
    </row>
    <row r="19" spans="1:41" ht="13.5" thickBot="1">
      <c r="A19" s="617" t="str">
        <f>A17</f>
        <v>Andy White</v>
      </c>
      <c r="B19" s="617"/>
      <c r="C19" s="647"/>
      <c r="D19" s="651"/>
      <c r="E19" s="618" t="str">
        <f t="shared" si="1"/>
        <v>Slovenia</v>
      </c>
      <c r="F19" s="619">
        <f>IF(M19="","",INDEX(Odds!C:C,MATCH(M19,Odds!G:G,0)))</f>
        <v>7</v>
      </c>
      <c r="G19" s="620">
        <f t="shared" si="2"/>
        <v>2.6</v>
      </c>
      <c r="H19" s="614" t="str">
        <f t="shared" si="3"/>
        <v>x</v>
      </c>
      <c r="I19" s="615"/>
      <c r="J19" s="616"/>
      <c r="K19" s="348"/>
      <c r="L19" s="348"/>
      <c r="M19" s="408" t="s">
        <v>612</v>
      </c>
      <c r="N19" s="630" t="str">
        <f>INDEX(Odds!H:H,MATCH(M19,Odds!G:G,0))</f>
        <v>8/5</v>
      </c>
      <c r="O19" s="631">
        <f>INDEX(Odds!I:I,MATCH(M19,Odds!G:G,0))</f>
        <v>2.6</v>
      </c>
      <c r="P19" s="626">
        <f>INDEX(Odds!J:J,MATCH(M19,Odds!G:G,0))</f>
        <v>0</v>
      </c>
      <c r="Q19" s="632">
        <f t="shared" si="4"/>
        <v>0</v>
      </c>
      <c r="R19" s="505"/>
      <c r="S19" s="501" t="str">
        <f>IF(Match!B19="","",Match!V19)</f>
        <v xml:space="preserve">Rotherham 1-1 Crewe </v>
      </c>
      <c r="T19" s="88"/>
      <c r="U19" s="35" t="str">
        <f>IF(Odds!G19="","",Odds!G19)</f>
        <v>Rotherham</v>
      </c>
      <c r="V19" s="36" t="str">
        <f>INDEX(Odds!H:H,MATCH(U19,Odds!G:G,0))</f>
        <v>11/10</v>
      </c>
      <c r="W19" s="40">
        <f t="shared" si="0"/>
        <v>0</v>
      </c>
      <c r="X19" s="20" t="str">
        <f>INDEX(Match!Q:Q,MATCH(S19,Match!V:V,0))</f>
        <v>Rotherham</v>
      </c>
      <c r="Y19" s="20">
        <f>INDEX(Match!G:G,MATCH(S19,Match!V:V,0))</f>
        <v>1</v>
      </c>
      <c r="Z19" s="20" t="str">
        <f>INDEX(Match!R:R,MATCH(S19,Match!V:V,0))</f>
        <v>Crewe</v>
      </c>
      <c r="AA19" s="20">
        <f>INDEX(Match!H:H,MATCH(S19,Match!V:V,0))</f>
        <v>1</v>
      </c>
      <c r="AB19" s="8">
        <f>INDEX(Odds!K:K,MATCH(M19,Odds!G:G,0))</f>
        <v>1</v>
      </c>
      <c r="AE19" s="508" t="str">
        <f>IF(R19="","",INDEX(Odds!H:H,MATCH(R19,Odds!G:G,0)))</f>
        <v/>
      </c>
      <c r="AF19" s="508" t="str">
        <f>IF(INDEX(Table!S:S,MATCH(A19,Table!F:F,0))="N","N","")</f>
        <v/>
      </c>
      <c r="AG19" s="69" t="s">
        <v>285</v>
      </c>
      <c r="AH19" s="72">
        <f>INDEX(Picks!I:I,MATCH(AG19,Picks!A:A,0))</f>
        <v>-2.375</v>
      </c>
      <c r="AI19" s="404">
        <f>INDEX(Weekly!I:I,MATCH(AG19,Weekly!E:E,0))</f>
        <v>2</v>
      </c>
      <c r="AJ19" s="69">
        <f>IF(AH19=-10,"",_xlfn.RANK.EQ(AH19,TopScores,0))</f>
        <v>18</v>
      </c>
      <c r="AL19" s="71" t="s">
        <v>271</v>
      </c>
      <c r="AM19" s="72">
        <f>INDEX(Picks!J:J,MATCH(AL19,Picks!A:A,0))</f>
        <v>16.800000000000004</v>
      </c>
      <c r="AN19" s="404">
        <f>INDEX(Weekly!I:I,MATCH(AL19,Weekly!E:E,0))</f>
        <v>1</v>
      </c>
      <c r="AO19" s="69">
        <f>IF(AM19="","",_xlfn.RANK.EQ(AM19,TopMaxScores,0))</f>
        <v>31</v>
      </c>
    </row>
    <row r="20" spans="1:41" ht="13.9" thickTop="1" thickBot="1">
      <c r="A20" s="604" t="str">
        <f>Results!B20</f>
        <v>Barry Birchall</v>
      </c>
      <c r="B20" s="604" t="str">
        <f>INDEX(Table!E:E,MATCH(A20,Table!F:F,0))</f>
        <v>A</v>
      </c>
      <c r="C20" s="645">
        <f>INDEX(Table!D:D,MATCH(A20,Table!F:F,0))</f>
        <v>11</v>
      </c>
      <c r="D20" s="649">
        <f>INDEX(Table!I:I,MATCH(A20,Table!F:F,0))</f>
        <v>-25.903181818181814</v>
      </c>
      <c r="E20" s="605" t="str">
        <f t="shared" si="1"/>
        <v>Plymouth</v>
      </c>
      <c r="F20" s="606">
        <f>IF(M20="","",INDEX(Odds!C:C,MATCH(M20,Odds!G:G,0)))</f>
        <v>7</v>
      </c>
      <c r="G20" s="607">
        <f t="shared" si="2"/>
        <v>1.6153846153846154</v>
      </c>
      <c r="H20" s="608" t="str">
        <f t="shared" si="3"/>
        <v>x</v>
      </c>
      <c r="I20" s="609">
        <f>IF(M20="",-10,INDEX(Results!T:T,MATCH(A20,Results!V:V,0)))</f>
        <v>-5.6363636363636367</v>
      </c>
      <c r="J20" s="610">
        <f>IF(M20="","",INDEX(Results!AI:AI,MATCH(A20,Results!V:V,0)))</f>
        <v>10.854545454545452</v>
      </c>
      <c r="K20" s="348" t="str">
        <f>IF(INDEX(Table!Q:Q,MATCH(A20,Table!F:F,0))="N","N","Y")</f>
        <v>Y</v>
      </c>
      <c r="L20" s="347">
        <f>INDEX(Picks!AJ:AJ,MATCH(A20,Picks!AG:AG,0))</f>
        <v>35</v>
      </c>
      <c r="M20" s="594" t="s">
        <v>554</v>
      </c>
      <c r="N20" s="624" t="str">
        <f>INDEX(Odds!H:H,MATCH(M20,Odds!G:G,0))</f>
        <v>8/13</v>
      </c>
      <c r="O20" s="625">
        <f>INDEX(Odds!I:I,MATCH(M20,Odds!G:G,0))</f>
        <v>1.6153846153846154</v>
      </c>
      <c r="P20" s="633">
        <f>INDEX(Odds!J:J,MATCH(M20,Odds!G:G,0))</f>
        <v>0</v>
      </c>
      <c r="Q20" s="627">
        <f t="shared" si="4"/>
        <v>0</v>
      </c>
      <c r="R20" s="504"/>
      <c r="S20" s="501" t="str">
        <f>IF(Match!B20="","",Match!V20)</f>
        <v xml:space="preserve">Shrewsbury 2-2 Colchester </v>
      </c>
      <c r="T20" s="88"/>
      <c r="U20" s="35" t="str">
        <f>IF(Odds!G20="","",Odds!G20)</f>
        <v>Shrewsbury</v>
      </c>
      <c r="V20" s="36" t="str">
        <f>INDEX(Odds!H:H,MATCH(U20,Odds!G:G,0))</f>
        <v>6/4</v>
      </c>
      <c r="W20" s="40">
        <f t="shared" si="0"/>
        <v>0</v>
      </c>
      <c r="X20" s="20" t="str">
        <f>INDEX(Match!Q:Q,MATCH(S20,Match!V:V,0))</f>
        <v>Shrewsbury</v>
      </c>
      <c r="Y20" s="20">
        <f>INDEX(Match!G:G,MATCH(S20,Match!V:V,0))</f>
        <v>2</v>
      </c>
      <c r="Z20" s="20" t="str">
        <f>INDEX(Match!R:R,MATCH(S20,Match!V:V,0))</f>
        <v>Colchester</v>
      </c>
      <c r="AA20" s="20">
        <f>INDEX(Match!H:H,MATCH(S20,Match!V:V,0))</f>
        <v>2</v>
      </c>
      <c r="AB20" s="8">
        <f>INDEX(Odds!K:K,MATCH(M20,Odds!G:G,0))</f>
        <v>1</v>
      </c>
      <c r="AE20" s="507" t="str">
        <f>IF(R20="","",INDEX(Odds!H:H,MATCH(R20,Odds!G:G,0)))</f>
        <v/>
      </c>
      <c r="AF20" s="507" t="str">
        <f>IF(INDEX(Table!S:S,MATCH(A20,Table!F:F,0))="N","N","")</f>
        <v/>
      </c>
      <c r="AG20" s="69" t="s">
        <v>479</v>
      </c>
      <c r="AH20" s="72">
        <f>INDEX(Picks!I:I,MATCH(AG20,Picks!A:A,0))</f>
        <v>-3.9</v>
      </c>
      <c r="AI20" s="404">
        <f>INDEX(Weekly!I:I,MATCH(AG20,Weekly!E:E,0))</f>
        <v>1</v>
      </c>
      <c r="AJ20" s="69">
        <f>IF(AH20=-10,"",_xlfn.RANK.EQ(AH20,TopScores,0))</f>
        <v>19</v>
      </c>
      <c r="AL20" s="71" t="s">
        <v>288</v>
      </c>
      <c r="AM20" s="72">
        <f>INDEX(Picks!J:J,MATCH(AL20,Picks!A:A,0))</f>
        <v>16.990000000000002</v>
      </c>
      <c r="AN20" s="404">
        <f>INDEX(Weekly!I:I,MATCH(AL20,Weekly!E:E,0))</f>
        <v>3</v>
      </c>
      <c r="AO20" s="69">
        <f>IF(AM20="","",_xlfn.RANK.EQ(AM20,TopMaxScores,0))</f>
        <v>30</v>
      </c>
    </row>
    <row r="21" spans="1:41">
      <c r="A21" s="611" t="str">
        <f>A20</f>
        <v>Barry Birchall</v>
      </c>
      <c r="B21" s="611"/>
      <c r="C21" s="646"/>
      <c r="D21" s="650"/>
      <c r="E21" s="612" t="str">
        <f t="shared" si="1"/>
        <v>Stockport</v>
      </c>
      <c r="F21" s="606">
        <f>IF(M21="","",INDEX(Odds!C:C,MATCH(M21,Odds!G:G,0)))</f>
        <v>7</v>
      </c>
      <c r="G21" s="613">
        <f t="shared" si="2"/>
        <v>1.3636363636363638</v>
      </c>
      <c r="H21" s="614" t="str">
        <f t="shared" si="3"/>
        <v>√</v>
      </c>
      <c r="I21" s="615"/>
      <c r="J21" s="616"/>
      <c r="K21" s="348">
        <f>IF(J20="",0,1)</f>
        <v>1</v>
      </c>
      <c r="L21" s="348"/>
      <c r="M21" s="594" t="s">
        <v>645</v>
      </c>
      <c r="N21" s="628" t="str">
        <f>INDEX(Odds!H:H,MATCH(M21,Odds!G:G,0))</f>
        <v>4/11</v>
      </c>
      <c r="O21" s="629">
        <f>INDEX(Odds!I:I,MATCH(M21,Odds!G:G,0))</f>
        <v>1.3636363636363638</v>
      </c>
      <c r="P21" s="626">
        <f>INDEX(Odds!J:J,MATCH(M21,Odds!G:G,0))</f>
        <v>1</v>
      </c>
      <c r="Q21" s="627">
        <f t="shared" si="4"/>
        <v>1.3636363636363638</v>
      </c>
      <c r="R21" s="504"/>
      <c r="S21" s="501" t="str">
        <f>IF(Match!B21="","",Match!V21)</f>
        <v xml:space="preserve">Swindon 1-1 Accrington </v>
      </c>
      <c r="T21" s="88"/>
      <c r="U21" s="35" t="str">
        <f>IF(Odds!G21="","",Odds!G21)</f>
        <v>Swindon</v>
      </c>
      <c r="V21" s="36" t="str">
        <f>INDEX(Odds!H:H,MATCH(U21,Odds!G:G,0))</f>
        <v>21/20</v>
      </c>
      <c r="W21" s="40">
        <f t="shared" si="0"/>
        <v>0</v>
      </c>
      <c r="X21" s="20" t="str">
        <f>INDEX(Match!Q:Q,MATCH(S21,Match!V:V,0))</f>
        <v>Swindon</v>
      </c>
      <c r="Y21" s="20">
        <f>INDEX(Match!G:G,MATCH(S21,Match!V:V,0))</f>
        <v>1</v>
      </c>
      <c r="Z21" s="20" t="str">
        <f>INDEX(Match!R:R,MATCH(S21,Match!V:V,0))</f>
        <v>Accrington</v>
      </c>
      <c r="AA21" s="20">
        <f>INDEX(Match!H:H,MATCH(S21,Match!V:V,0))</f>
        <v>1</v>
      </c>
      <c r="AB21" s="8">
        <f>INDEX(Odds!K:K,MATCH(M21,Odds!G:G,0))</f>
        <v>1</v>
      </c>
      <c r="AE21" s="507" t="str">
        <f>IF(R21="","",INDEX(Odds!H:H,MATCH(R21,Odds!G:G,0)))</f>
        <v/>
      </c>
      <c r="AF21" s="507" t="str">
        <f>IF(INDEX(Table!S:S,MATCH(A21,Table!F:F,0))="N","N","")</f>
        <v/>
      </c>
      <c r="AG21" s="69" t="s">
        <v>480</v>
      </c>
      <c r="AH21" s="72">
        <f>INDEX(Picks!I:I,MATCH(AG21,Picks!A:A,0))</f>
        <v>-4.5999999999999996</v>
      </c>
      <c r="AI21" s="404">
        <f>INDEX(Weekly!I:I,MATCH(AG21,Weekly!E:E,0))</f>
        <v>1</v>
      </c>
      <c r="AJ21" s="69">
        <f>IF(AH21=-10,"",_xlfn.RANK.EQ(AH21,TopScores,0))</f>
        <v>20</v>
      </c>
      <c r="AK21" s="58"/>
      <c r="AL21" s="528" t="s">
        <v>495</v>
      </c>
      <c r="AM21" s="72">
        <f>INDEX(Picks!J:J,MATCH(AL21,Picks!A:A,0))</f>
        <v>17.080000000000005</v>
      </c>
      <c r="AN21" s="404">
        <f>INDEX(Weekly!I:I,MATCH(AL21,Weekly!E:E,0))</f>
        <v>1</v>
      </c>
      <c r="AO21" s="69">
        <f>IF(AM21="","",_xlfn.RANK.EQ(AM21,TopMaxScores,0))</f>
        <v>29</v>
      </c>
    </row>
    <row r="22" spans="1:41" ht="13.5" thickBot="1">
      <c r="A22" s="617" t="str">
        <f>A20</f>
        <v>Barry Birchall</v>
      </c>
      <c r="B22" s="617"/>
      <c r="C22" s="647"/>
      <c r="D22" s="651"/>
      <c r="E22" s="618" t="str">
        <f t="shared" si="1"/>
        <v>Swindon</v>
      </c>
      <c r="F22" s="619">
        <f>IF(M22="","",INDEX(Odds!C:C,MATCH(M22,Odds!G:G,0)))</f>
        <v>7</v>
      </c>
      <c r="G22" s="620">
        <f t="shared" si="2"/>
        <v>2.0499999999999998</v>
      </c>
      <c r="H22" s="614" t="str">
        <f t="shared" si="3"/>
        <v>x</v>
      </c>
      <c r="I22" s="615"/>
      <c r="J22" s="616"/>
      <c r="K22" s="348"/>
      <c r="L22" s="348"/>
      <c r="M22" s="573" t="s">
        <v>571</v>
      </c>
      <c r="N22" s="630" t="str">
        <f>INDEX(Odds!H:H,MATCH(M22,Odds!G:G,0))</f>
        <v>21/20</v>
      </c>
      <c r="O22" s="631">
        <f>INDEX(Odds!I:I,MATCH(M22,Odds!G:G,0))</f>
        <v>2.0499999999999998</v>
      </c>
      <c r="P22" s="626">
        <f>INDEX(Odds!J:J,MATCH(M22,Odds!G:G,0))</f>
        <v>0</v>
      </c>
      <c r="Q22" s="632">
        <f t="shared" si="4"/>
        <v>0</v>
      </c>
      <c r="R22" s="505"/>
      <c r="S22" s="501" t="str">
        <f>IF(Match!B22="","",Match!V22)</f>
        <v xml:space="preserve">Tranmere 1-1 Walsall </v>
      </c>
      <c r="T22" s="88"/>
      <c r="U22" s="35" t="str">
        <f>IF(Odds!G22="","",Odds!G22)</f>
        <v>Tranmere</v>
      </c>
      <c r="V22" s="36" t="str">
        <f>INDEX(Odds!H:H,MATCH(U22,Odds!G:G,0))</f>
        <v>6/4</v>
      </c>
      <c r="W22" s="40">
        <f t="shared" si="0"/>
        <v>0</v>
      </c>
      <c r="X22" s="20" t="str">
        <f>INDEX(Match!Q:Q,MATCH(S22,Match!V:V,0))</f>
        <v>Tranmere</v>
      </c>
      <c r="Y22" s="20">
        <f>INDEX(Match!G:G,MATCH(S22,Match!V:V,0))</f>
        <v>1</v>
      </c>
      <c r="Z22" s="20" t="str">
        <f>INDEX(Match!R:R,MATCH(S22,Match!V:V,0))</f>
        <v>Walsall</v>
      </c>
      <c r="AA22" s="20">
        <f>INDEX(Match!H:H,MATCH(S22,Match!V:V,0))</f>
        <v>1</v>
      </c>
      <c r="AB22" s="8">
        <f>INDEX(Odds!K:K,MATCH(M22,Odds!G:G,0))</f>
        <v>1</v>
      </c>
      <c r="AE22" s="508" t="str">
        <f>IF(R22="","",INDEX(Odds!H:H,MATCH(R22,Odds!G:G,0)))</f>
        <v/>
      </c>
      <c r="AF22" s="508" t="str">
        <f>IF(INDEX(Table!S:S,MATCH(A22,Table!F:F,0))="N","N","")</f>
        <v/>
      </c>
      <c r="AG22" s="528" t="s">
        <v>274</v>
      </c>
      <c r="AH22" s="72">
        <f>INDEX(Picks!I:I,MATCH(AG22,Picks!A:A,0))</f>
        <v>-4.5999999999999996</v>
      </c>
      <c r="AI22" s="404">
        <f>INDEX(Weekly!I:I,MATCH(AG22,Weekly!E:E,0))</f>
        <v>1</v>
      </c>
      <c r="AJ22" s="69">
        <f>IF(AH22=-10,"",_xlfn.RANK.EQ(AH22,TopScores,0))</f>
        <v>20</v>
      </c>
      <c r="AL22" s="69" t="s">
        <v>480</v>
      </c>
      <c r="AM22" s="72">
        <f>INDEX(Picks!J:J,MATCH(AL22,Picks!A:A,0))</f>
        <v>17.343076923076922</v>
      </c>
      <c r="AN22" s="404">
        <f>INDEX(Weekly!I:I,MATCH(AL22,Weekly!E:E,0))</f>
        <v>1</v>
      </c>
      <c r="AO22" s="69">
        <f>IF(AM22="","",_xlfn.RANK.EQ(AM22,TopMaxScores,0))</f>
        <v>28</v>
      </c>
    </row>
    <row r="23" spans="1:41" ht="13.9" thickTop="1" thickBot="1">
      <c r="A23" s="604" t="str">
        <f>Results!B23</f>
        <v>Ben Rosser</v>
      </c>
      <c r="B23" s="604" t="str">
        <f>INDEX(Table!E:E,MATCH(A23,Table!F:F,0))</f>
        <v>B</v>
      </c>
      <c r="C23" s="645">
        <f>INDEX(Table!D:D,MATCH(A23,Table!F:F,0))</f>
        <v>8</v>
      </c>
      <c r="D23" s="649">
        <f>INDEX(Table!I:I,MATCH(A23,Table!F:F,0))</f>
        <v>-15.609999999999998</v>
      </c>
      <c r="E23" s="605" t="str">
        <f t="shared" si="1"/>
        <v>Belgium</v>
      </c>
      <c r="F23" s="606">
        <f>IF(M23="","",INDEX(Odds!C:C,MATCH(M23,Odds!G:G,0)))</f>
        <v>6</v>
      </c>
      <c r="G23" s="607">
        <f t="shared" si="2"/>
        <v>3.1</v>
      </c>
      <c r="H23" s="608" t="str">
        <f t="shared" si="3"/>
        <v>√</v>
      </c>
      <c r="I23" s="609">
        <f>IF(M23="",-10,INDEX(Results!T:T,MATCH(A23,Results!V:V,0)))</f>
        <v>5.9399999999999995</v>
      </c>
      <c r="J23" s="610">
        <f>IF(M23="","",INDEX(Results!AI:AI,MATCH(A23,Results!V:V,0)))</f>
        <v>42.184000000000005</v>
      </c>
      <c r="K23" s="348" t="str">
        <f>IF(INDEX(Table!Q:Q,MATCH(A23,Table!F:F,0))="N","N","Y")</f>
        <v>Y</v>
      </c>
      <c r="L23" s="347">
        <f>INDEX(Picks!AJ:AJ,MATCH(A23,Picks!AG:AG,0))</f>
        <v>8</v>
      </c>
      <c r="M23" s="407" t="s">
        <v>583</v>
      </c>
      <c r="N23" s="624" t="str">
        <f>INDEX(Odds!H:H,MATCH(M23,Odds!G:G,0))</f>
        <v>21/10</v>
      </c>
      <c r="O23" s="625">
        <f>INDEX(Odds!I:I,MATCH(M23,Odds!G:G,0))</f>
        <v>3.1</v>
      </c>
      <c r="P23" s="633">
        <f>INDEX(Odds!J:J,MATCH(M23,Odds!G:G,0))</f>
        <v>1</v>
      </c>
      <c r="Q23" s="627">
        <f t="shared" si="4"/>
        <v>3.1</v>
      </c>
      <c r="R23" s="504"/>
      <c r="S23" s="501" t="str">
        <f>IF(Match!B23="","",Match!V23)</f>
        <v xml:space="preserve">York 3-0 Gillingham </v>
      </c>
      <c r="T23" s="88"/>
      <c r="U23" s="35" t="str">
        <f>IF(Odds!G23="","",Odds!G23)</f>
        <v>York</v>
      </c>
      <c r="V23" s="36" t="str">
        <f>INDEX(Odds!H:H,MATCH(U23,Odds!G:G,0))</f>
        <v>1/2</v>
      </c>
      <c r="W23" s="40">
        <f t="shared" si="0"/>
        <v>1</v>
      </c>
      <c r="X23" s="20" t="str">
        <f>INDEX(Match!Q:Q,MATCH(S23,Match!V:V,0))</f>
        <v>York</v>
      </c>
      <c r="Y23" s="20">
        <f>INDEX(Match!G:G,MATCH(S23,Match!V:V,0))</f>
        <v>3</v>
      </c>
      <c r="Z23" s="20" t="str">
        <f>INDEX(Match!R:R,MATCH(S23,Match!V:V,0))</f>
        <v>Gillingham</v>
      </c>
      <c r="AA23" s="20">
        <f>INDEX(Match!H:H,MATCH(S23,Match!V:V,0))</f>
        <v>0</v>
      </c>
      <c r="AB23" s="8">
        <f>INDEX(Odds!K:K,MATCH(M23,Odds!G:G,0))</f>
        <v>1</v>
      </c>
      <c r="AE23" s="507" t="str">
        <f>IF(R23="","",INDEX(Odds!H:H,MATCH(R23,Odds!G:G,0)))</f>
        <v/>
      </c>
      <c r="AF23" s="507" t="str">
        <f>IF(INDEX(Table!S:S,MATCH(A23,Table!F:F,0))="N","N","")</f>
        <v/>
      </c>
      <c r="AG23" s="69" t="s">
        <v>277</v>
      </c>
      <c r="AH23" s="72">
        <f>INDEX(Picks!I:I,MATCH(AG23,Picks!A:A,0))</f>
        <v>-4.5999999999999996</v>
      </c>
      <c r="AI23" s="404">
        <f>INDEX(Weekly!I:I,MATCH(AG23,Weekly!E:E,0))</f>
        <v>1</v>
      </c>
      <c r="AJ23" s="69">
        <f>IF(AH23=-10,"",_xlfn.RANK.EQ(AH23,TopScores,0))</f>
        <v>20</v>
      </c>
      <c r="AL23" s="71" t="s">
        <v>349</v>
      </c>
      <c r="AM23" s="72">
        <f>INDEX(Picks!J:J,MATCH(AL23,Picks!A:A,0))</f>
        <v>18.000000000000004</v>
      </c>
      <c r="AN23" s="404">
        <f>INDEX(Weekly!I:I,MATCH(AL23,Weekly!E:E,0))</f>
        <v>2</v>
      </c>
      <c r="AO23" s="69">
        <f>IF(AM23="","",_xlfn.RANK.EQ(AM23,TopMaxScores,0))</f>
        <v>27</v>
      </c>
    </row>
    <row r="24" spans="1:41">
      <c r="A24" s="611" t="str">
        <f>A23</f>
        <v>Ben Rosser</v>
      </c>
      <c r="B24" s="611"/>
      <c r="C24" s="646"/>
      <c r="D24" s="650"/>
      <c r="E24" s="612" t="str">
        <f t="shared" si="1"/>
        <v>Spain</v>
      </c>
      <c r="F24" s="606">
        <f>IF(M24="","",INDEX(Odds!C:C,MATCH(M24,Odds!G:G,0)))</f>
        <v>7</v>
      </c>
      <c r="G24" s="613">
        <f t="shared" si="2"/>
        <v>2.4</v>
      </c>
      <c r="H24" s="614" t="str">
        <f t="shared" si="3"/>
        <v>√</v>
      </c>
      <c r="I24" s="615"/>
      <c r="J24" s="616"/>
      <c r="K24" s="348">
        <f>IF(J23="",0,1)</f>
        <v>1</v>
      </c>
      <c r="L24" s="348"/>
      <c r="M24" s="407" t="s">
        <v>601</v>
      </c>
      <c r="N24" s="628" t="str">
        <f>INDEX(Odds!H:H,MATCH(M24,Odds!G:G,0))</f>
        <v>7/5</v>
      </c>
      <c r="O24" s="629">
        <f>INDEX(Odds!I:I,MATCH(M24,Odds!G:G,0))</f>
        <v>2.4</v>
      </c>
      <c r="P24" s="626">
        <f>INDEX(Odds!J:J,MATCH(M24,Odds!G:G,0))</f>
        <v>1</v>
      </c>
      <c r="Q24" s="627">
        <f t="shared" si="4"/>
        <v>2.4</v>
      </c>
      <c r="R24" s="504"/>
      <c r="S24" s="501" t="str">
        <f>IF(Match!B24="","",Match!V24)</f>
        <v xml:space="preserve">Albania 2-0 Belarus </v>
      </c>
      <c r="T24" s="88"/>
      <c r="U24" s="35" t="str">
        <f>IF(Odds!G24="","",Odds!G24)</f>
        <v>Albania</v>
      </c>
      <c r="V24" s="36" t="str">
        <f>INDEX(Odds!H:H,MATCH(U24,Odds!G:G,0))</f>
        <v>1/2</v>
      </c>
      <c r="W24" s="40">
        <f t="shared" si="0"/>
        <v>1</v>
      </c>
      <c r="X24" s="20" t="str">
        <f>INDEX(Match!Q:Q,MATCH(S24,Match!V:V,0))</f>
        <v>Albania</v>
      </c>
      <c r="Y24" s="20">
        <f>INDEX(Match!G:G,MATCH(S24,Match!V:V,0))</f>
        <v>2</v>
      </c>
      <c r="Z24" s="20" t="str">
        <f>INDEX(Match!R:R,MATCH(S24,Match!V:V,0))</f>
        <v>Belarus</v>
      </c>
      <c r="AA24" s="20">
        <f>INDEX(Match!H:H,MATCH(S24,Match!V:V,0))</f>
        <v>0</v>
      </c>
      <c r="AB24" s="8">
        <f>INDEX(Odds!K:K,MATCH(M24,Odds!G:G,0))</f>
        <v>1</v>
      </c>
      <c r="AE24" s="507" t="str">
        <f>IF(R24="","",INDEX(Odds!H:H,MATCH(R24,Odds!G:G,0)))</f>
        <v/>
      </c>
      <c r="AF24" s="507" t="str">
        <f>IF(INDEX(Table!S:S,MATCH(A24,Table!F:F,0))="N","N","")</f>
        <v/>
      </c>
      <c r="AG24" s="71" t="s">
        <v>495</v>
      </c>
      <c r="AH24" s="72">
        <f>INDEX(Picks!I:I,MATCH(AG24,Picks!A:A,0))</f>
        <v>-4.8</v>
      </c>
      <c r="AI24" s="404">
        <f>INDEX(Weekly!I:I,MATCH(AG24,Weekly!E:E,0))</f>
        <v>1</v>
      </c>
      <c r="AJ24" s="69">
        <f>IF(AH24=-10,"",_xlfn.RANK.EQ(AH24,TopScores,0))</f>
        <v>23</v>
      </c>
      <c r="AL24" s="71" t="s">
        <v>347</v>
      </c>
      <c r="AM24" s="72">
        <f>INDEX(Picks!J:J,MATCH(AL24,Picks!A:A,0))</f>
        <v>20.292727272727269</v>
      </c>
      <c r="AN24" s="404">
        <f>INDEX(Weekly!I:I,MATCH(AL24,Weekly!E:E,0))</f>
        <v>2</v>
      </c>
      <c r="AO24" s="69">
        <f>IF(AM24="","",_xlfn.RANK.EQ(AM24,TopMaxScores,0))</f>
        <v>26</v>
      </c>
    </row>
    <row r="25" spans="1:41" ht="13.5" thickBot="1">
      <c r="A25" s="617" t="str">
        <f>A23</f>
        <v>Ben Rosser</v>
      </c>
      <c r="B25" s="617"/>
      <c r="C25" s="647"/>
      <c r="D25" s="651"/>
      <c r="E25" s="618" t="str">
        <f t="shared" si="1"/>
        <v>Slovenia</v>
      </c>
      <c r="F25" s="619">
        <f>IF(M25="","",INDEX(Odds!C:C,MATCH(M25,Odds!G:G,0)))</f>
        <v>7</v>
      </c>
      <c r="G25" s="620">
        <f t="shared" si="2"/>
        <v>2.6</v>
      </c>
      <c r="H25" s="614" t="str">
        <f t="shared" si="3"/>
        <v>x</v>
      </c>
      <c r="I25" s="615"/>
      <c r="J25" s="616"/>
      <c r="K25" s="348"/>
      <c r="L25" s="348"/>
      <c r="M25" s="408" t="s">
        <v>612</v>
      </c>
      <c r="N25" s="630" t="str">
        <f>INDEX(Odds!H:H,MATCH(M25,Odds!G:G,0))</f>
        <v>8/5</v>
      </c>
      <c r="O25" s="631">
        <f>INDEX(Odds!I:I,MATCH(M25,Odds!G:G,0))</f>
        <v>2.6</v>
      </c>
      <c r="P25" s="626">
        <f>INDEX(Odds!J:J,MATCH(M25,Odds!G:G,0))</f>
        <v>0</v>
      </c>
      <c r="Q25" s="632">
        <f t="shared" si="4"/>
        <v>0</v>
      </c>
      <c r="R25" s="505"/>
      <c r="S25" s="501" t="str">
        <f>IF(Match!B25="","",Match!V25)</f>
        <v xml:space="preserve">Bulgaria 1-2 Luxembourg </v>
      </c>
      <c r="T25" s="88"/>
      <c r="U25" s="35" t="str">
        <f>IF(Odds!G25="","",Odds!G25)</f>
        <v>Bulgaria</v>
      </c>
      <c r="V25" s="36" t="str">
        <f>INDEX(Odds!H:H,MATCH(U25,Odds!G:G,0))</f>
        <v>6/5</v>
      </c>
      <c r="W25" s="40">
        <f t="shared" si="0"/>
        <v>0</v>
      </c>
      <c r="X25" s="20" t="str">
        <f>INDEX(Match!Q:Q,MATCH(S25,Match!V:V,0))</f>
        <v>Bulgaria</v>
      </c>
      <c r="Y25" s="20">
        <f>INDEX(Match!G:G,MATCH(S25,Match!V:V,0))</f>
        <v>1</v>
      </c>
      <c r="Z25" s="20" t="str">
        <f>INDEX(Match!R:R,MATCH(S25,Match!V:V,0))</f>
        <v>Luxembourg</v>
      </c>
      <c r="AA25" s="20">
        <f>INDEX(Match!H:H,MATCH(S25,Match!V:V,0))</f>
        <v>2</v>
      </c>
      <c r="AB25" s="8">
        <f>INDEX(Odds!K:K,MATCH(M25,Odds!G:G,0))</f>
        <v>1</v>
      </c>
      <c r="AE25" s="508" t="str">
        <f>IF(R25="","",INDEX(Odds!H:H,MATCH(R25,Odds!G:G,0)))</f>
        <v/>
      </c>
      <c r="AF25" s="508" t="str">
        <f>IF(INDEX(Table!S:S,MATCH(A25,Table!F:F,0))="N","N","")</f>
        <v/>
      </c>
      <c r="AG25" s="69" t="s">
        <v>534</v>
      </c>
      <c r="AH25" s="72">
        <f>INDEX(Picks!I:I,MATCH(AG25,Picks!A:A,0))</f>
        <v>-4.8</v>
      </c>
      <c r="AI25" s="404">
        <f>INDEX(Weekly!I:I,MATCH(AG25,Weekly!E:E,0))</f>
        <v>1</v>
      </c>
      <c r="AJ25" s="69">
        <f>IF(AH25=-10,"",_xlfn.RANK.EQ(AH25,TopScores,0))</f>
        <v>23</v>
      </c>
      <c r="AL25" s="69" t="s">
        <v>280</v>
      </c>
      <c r="AM25" s="72">
        <f>INDEX(Picks!J:J,MATCH(AL25,Picks!A:A,0))</f>
        <v>20.672000000000004</v>
      </c>
      <c r="AN25" s="404">
        <f>INDEX(Weekly!I:I,MATCH(AL25,Weekly!E:E,0))</f>
        <v>1</v>
      </c>
      <c r="AO25" s="69">
        <f>IF(AM25="","",_xlfn.RANK.EQ(AM25,TopMaxScores,0))</f>
        <v>25</v>
      </c>
    </row>
    <row r="26" spans="1:41" ht="13.9" thickTop="1" thickBot="1">
      <c r="A26" s="604" t="str">
        <f>Results!B26</f>
        <v>Bob Bailey</v>
      </c>
      <c r="B26" s="604" t="str">
        <f>INDEX(Table!E:E,MATCH(A26,Table!F:F,0))</f>
        <v>C</v>
      </c>
      <c r="C26" s="645">
        <f>INDEX(Table!D:D,MATCH(A26,Table!F:F,0))</f>
        <v>13</v>
      </c>
      <c r="D26" s="649">
        <f>INDEX(Table!I:I,MATCH(A26,Table!F:F,0))</f>
        <v>-22.25</v>
      </c>
      <c r="E26" s="605" t="str">
        <f t="shared" si="1"/>
        <v>Plymouth</v>
      </c>
      <c r="F26" s="606">
        <f>IF(M26="","",INDEX(Odds!C:C,MATCH(M26,Odds!G:G,0)))</f>
        <v>7</v>
      </c>
      <c r="G26" s="607">
        <f t="shared" si="2"/>
        <v>1.6153846153846154</v>
      </c>
      <c r="H26" s="608" t="str">
        <f t="shared" si="3"/>
        <v>x</v>
      </c>
      <c r="I26" s="609">
        <f>IF(M26="",-10,INDEX(Results!T:T,MATCH(A26,Results!V:V,0)))</f>
        <v>-4.5999999999999996</v>
      </c>
      <c r="J26" s="610">
        <f>IF(M26="","",INDEX(Results!AI:AI,MATCH(A26,Results!V:V,0)))</f>
        <v>17.343076923076922</v>
      </c>
      <c r="K26" s="348" t="str">
        <f>IF(INDEX(Table!Q:Q,MATCH(A26,Table!F:F,0))="N","N","Y")</f>
        <v>Y</v>
      </c>
      <c r="L26" s="347">
        <f>INDEX(Picks!AJ:AJ,MATCH(A26,Picks!AG:AG,0))</f>
        <v>20</v>
      </c>
      <c r="M26" s="407" t="s">
        <v>554</v>
      </c>
      <c r="N26" s="624" t="str">
        <f>INDEX(Odds!H:H,MATCH(M26,Odds!G:G,0))</f>
        <v>8/13</v>
      </c>
      <c r="O26" s="625">
        <f>INDEX(Odds!I:I,MATCH(M26,Odds!G:G,0))</f>
        <v>1.6153846153846154</v>
      </c>
      <c r="P26" s="633">
        <f>INDEX(Odds!J:J,MATCH(M26,Odds!G:G,0))</f>
        <v>0</v>
      </c>
      <c r="Q26" s="627">
        <f t="shared" si="4"/>
        <v>0</v>
      </c>
      <c r="R26" s="504"/>
      <c r="S26" s="501" t="str">
        <f>IF(Match!B26="","",Match!V26)</f>
        <v xml:space="preserve">Czech 1-2 Croatia </v>
      </c>
      <c r="T26" s="88"/>
      <c r="U26" s="35" t="str">
        <f>IF(Odds!G26="","",Odds!G26)</f>
        <v>Czech</v>
      </c>
      <c r="V26" s="36" t="str">
        <f>INDEX(Odds!H:H,MATCH(U26,Odds!G:G,0))</f>
        <v>11/5</v>
      </c>
      <c r="W26" s="40">
        <f t="shared" si="0"/>
        <v>0</v>
      </c>
      <c r="X26" s="20" t="str">
        <f>INDEX(Match!Q:Q,MATCH(S26,Match!V:V,0))</f>
        <v>Czech</v>
      </c>
      <c r="Y26" s="20">
        <f>INDEX(Match!G:G,MATCH(S26,Match!V:V,0))</f>
        <v>1</v>
      </c>
      <c r="Z26" s="20" t="str">
        <f>INDEX(Match!R:R,MATCH(S26,Match!V:V,0))</f>
        <v>Croatia</v>
      </c>
      <c r="AA26" s="20">
        <f>INDEX(Match!H:H,MATCH(S26,Match!V:V,0))</f>
        <v>2</v>
      </c>
      <c r="AB26" s="8">
        <f>INDEX(Odds!K:K,MATCH(M26,Odds!G:G,0))</f>
        <v>1</v>
      </c>
      <c r="AE26" s="507" t="str">
        <f>IF(R26="","",INDEX(Odds!H:H,MATCH(R26,Odds!G:G,0)))</f>
        <v/>
      </c>
      <c r="AF26" s="507" t="str">
        <f>IF(INDEX(Table!S:S,MATCH(A26,Table!F:F,0))="N","N","")</f>
        <v/>
      </c>
      <c r="AG26" s="69" t="s">
        <v>294</v>
      </c>
      <c r="AH26" s="72">
        <f>INDEX(Picks!I:I,MATCH(AG26,Picks!A:A,0))</f>
        <v>-4.8</v>
      </c>
      <c r="AI26" s="404">
        <f>INDEX(Weekly!I:I,MATCH(AG26,Weekly!E:E,0))</f>
        <v>1</v>
      </c>
      <c r="AJ26" s="69">
        <f>IF(AH26=-10,"",_xlfn.RANK.EQ(AH26,TopScores,0))</f>
        <v>23</v>
      </c>
      <c r="AL26" s="71" t="s">
        <v>304</v>
      </c>
      <c r="AM26" s="72">
        <f>INDEX(Picks!J:J,MATCH(AL26,Picks!A:A,0))</f>
        <v>21.212499999999999</v>
      </c>
      <c r="AN26" s="404">
        <f>INDEX(Weekly!I:I,MATCH(AL26,Weekly!E:E,0))</f>
        <v>2</v>
      </c>
      <c r="AO26" s="69">
        <f>IF(AM26="","",_xlfn.RANK.EQ(AM26,TopMaxScores,0))</f>
        <v>24</v>
      </c>
    </row>
    <row r="27" spans="1:41">
      <c r="A27" s="611" t="str">
        <f>A26</f>
        <v>Bob Bailey</v>
      </c>
      <c r="B27" s="611"/>
      <c r="C27" s="646"/>
      <c r="D27" s="650"/>
      <c r="E27" s="612" t="str">
        <f t="shared" si="1"/>
        <v>Fleetwood</v>
      </c>
      <c r="F27" s="606">
        <f>IF(M27="","",INDEX(Odds!C:C,MATCH(M27,Odds!G:G,0)))</f>
        <v>7</v>
      </c>
      <c r="G27" s="613">
        <f t="shared" si="2"/>
        <v>1.85</v>
      </c>
      <c r="H27" s="614" t="str">
        <f t="shared" si="3"/>
        <v>x</v>
      </c>
      <c r="I27" s="615"/>
      <c r="J27" s="616"/>
      <c r="K27" s="348">
        <f>IF(J26="",0,1)</f>
        <v>1</v>
      </c>
      <c r="L27" s="348"/>
      <c r="M27" s="407" t="s">
        <v>593</v>
      </c>
      <c r="N27" s="628" t="str">
        <f>INDEX(Odds!H:H,MATCH(M27,Odds!G:G,0))</f>
        <v>17/20</v>
      </c>
      <c r="O27" s="629">
        <f>INDEX(Odds!I:I,MATCH(M27,Odds!G:G,0))</f>
        <v>1.85</v>
      </c>
      <c r="P27" s="626">
        <f>INDEX(Odds!J:J,MATCH(M27,Odds!G:G,0))</f>
        <v>0</v>
      </c>
      <c r="Q27" s="627">
        <f t="shared" si="4"/>
        <v>0</v>
      </c>
      <c r="R27" s="504"/>
      <c r="S27" s="501" t="str">
        <f>IF(Match!B27="","",Match!V27)</f>
        <v xml:space="preserve">England 2-3 Spain </v>
      </c>
      <c r="T27" s="88"/>
      <c r="U27" s="35" t="str">
        <f>IF(Odds!G27="","",Odds!G27)</f>
        <v>England</v>
      </c>
      <c r="V27" s="36" t="str">
        <f>INDEX(Odds!H:H,MATCH(U27,Odds!G:G,0))</f>
        <v>9/5</v>
      </c>
      <c r="W27" s="40">
        <f t="shared" si="0"/>
        <v>0</v>
      </c>
      <c r="X27" s="20" t="str">
        <f>INDEX(Match!Q:Q,MATCH(S27,Match!V:V,0))</f>
        <v>England</v>
      </c>
      <c r="Y27" s="20">
        <f>INDEX(Match!G:G,MATCH(S27,Match!V:V,0))</f>
        <v>2</v>
      </c>
      <c r="Z27" s="20" t="str">
        <f>INDEX(Match!R:R,MATCH(S27,Match!V:V,0))</f>
        <v>Spain</v>
      </c>
      <c r="AA27" s="20">
        <f>INDEX(Match!H:H,MATCH(S27,Match!V:V,0))</f>
        <v>3</v>
      </c>
      <c r="AB27" s="8">
        <f>INDEX(Odds!K:K,MATCH(M27,Odds!G:G,0))</f>
        <v>1</v>
      </c>
      <c r="AE27" s="507" t="str">
        <f>IF(R27="","",INDEX(Odds!H:H,MATCH(R27,Odds!G:G,0)))</f>
        <v/>
      </c>
      <c r="AF27" s="507" t="str">
        <f>IF(INDEX(Table!S:S,MATCH(A27,Table!F:F,0))="N","N","")</f>
        <v/>
      </c>
      <c r="AG27" s="69" t="s">
        <v>280</v>
      </c>
      <c r="AH27" s="72">
        <f>INDEX(Picks!I:I,MATCH(AG27,Picks!A:A,0))</f>
        <v>-4.8</v>
      </c>
      <c r="AI27" s="404">
        <f>INDEX(Weekly!I:I,MATCH(AG27,Weekly!E:E,0))</f>
        <v>1</v>
      </c>
      <c r="AJ27" s="69">
        <f>IF(AH27=-10,"",_xlfn.RANK.EQ(AH27,TopScores,0))</f>
        <v>23</v>
      </c>
      <c r="AL27" s="69" t="s">
        <v>292</v>
      </c>
      <c r="AM27" s="72">
        <f>INDEX(Picks!J:J,MATCH(AL27,Picks!A:A,0))</f>
        <v>21.783249999999999</v>
      </c>
      <c r="AN27" s="404">
        <f>INDEX(Weekly!I:I,MATCH(AL27,Weekly!E:E,0))</f>
        <v>0</v>
      </c>
      <c r="AO27" s="69">
        <f>IF(AM27="","",_xlfn.RANK.EQ(AM27,TopMaxScores,0))</f>
        <v>23</v>
      </c>
    </row>
    <row r="28" spans="1:41" ht="13.5" thickBot="1">
      <c r="A28" s="617" t="str">
        <f>A26</f>
        <v>Bob Bailey</v>
      </c>
      <c r="B28" s="617"/>
      <c r="C28" s="647"/>
      <c r="D28" s="651"/>
      <c r="E28" s="618" t="str">
        <f t="shared" si="1"/>
        <v>Spain</v>
      </c>
      <c r="F28" s="619">
        <f>IF(M28="","",INDEX(Odds!C:C,MATCH(M28,Odds!G:G,0)))</f>
        <v>7</v>
      </c>
      <c r="G28" s="620">
        <f t="shared" si="2"/>
        <v>2.4</v>
      </c>
      <c r="H28" s="614" t="str">
        <f t="shared" si="3"/>
        <v>√</v>
      </c>
      <c r="I28" s="615"/>
      <c r="J28" s="616"/>
      <c r="K28" s="348"/>
      <c r="L28" s="348"/>
      <c r="M28" s="408" t="s">
        <v>601</v>
      </c>
      <c r="N28" s="630" t="str">
        <f>INDEX(Odds!H:H,MATCH(M28,Odds!G:G,0))</f>
        <v>7/5</v>
      </c>
      <c r="O28" s="631">
        <f>INDEX(Odds!I:I,MATCH(M28,Odds!G:G,0))</f>
        <v>2.4</v>
      </c>
      <c r="P28" s="626">
        <f>INDEX(Odds!J:J,MATCH(M28,Odds!G:G,0))</f>
        <v>1</v>
      </c>
      <c r="Q28" s="632">
        <f t="shared" si="4"/>
        <v>2.4</v>
      </c>
      <c r="R28" s="505"/>
      <c r="S28" s="501" t="str">
        <f>IF(Match!B28="","",Match!V28)</f>
        <v xml:space="preserve">Faroe Islands 1-1 Kazakhstan </v>
      </c>
      <c r="T28" s="88"/>
      <c r="U28" s="35" t="str">
        <f>IF(Odds!G28="","",Odds!G28)</f>
        <v>Faroe Islands</v>
      </c>
      <c r="V28" s="36" t="str">
        <f>INDEX(Odds!H:H,MATCH(U28,Odds!G:G,0))</f>
        <v>13/10</v>
      </c>
      <c r="W28" s="40">
        <f t="shared" si="0"/>
        <v>0</v>
      </c>
      <c r="X28" s="20" t="str">
        <f>INDEX(Match!Q:Q,MATCH(S28,Match!V:V,0))</f>
        <v>Faroe Islands</v>
      </c>
      <c r="Y28" s="20">
        <f>INDEX(Match!G:G,MATCH(S28,Match!V:V,0))</f>
        <v>1</v>
      </c>
      <c r="Z28" s="20" t="str">
        <f>INDEX(Match!R:R,MATCH(S28,Match!V:V,0))</f>
        <v>Kazakhstan</v>
      </c>
      <c r="AA28" s="20">
        <f>INDEX(Match!H:H,MATCH(S28,Match!V:V,0))</f>
        <v>1</v>
      </c>
      <c r="AB28" s="8">
        <f>INDEX(Odds!K:K,MATCH(M28,Odds!G:G,0))</f>
        <v>1</v>
      </c>
      <c r="AE28" s="508" t="str">
        <f>IF(R28="","",INDEX(Odds!H:H,MATCH(R28,Odds!G:G,0)))</f>
        <v/>
      </c>
      <c r="AF28" s="508" t="str">
        <f>IF(INDEX(Table!S:S,MATCH(A28,Table!F:F,0))="N","N","")</f>
        <v/>
      </c>
      <c r="AG28" s="69" t="s">
        <v>295</v>
      </c>
      <c r="AH28" s="72">
        <f>INDEX(Picks!I:I,MATCH(AG28,Picks!A:A,0))</f>
        <v>-4.8499999999999996</v>
      </c>
      <c r="AI28" s="404">
        <f>INDEX(Weekly!I:I,MATCH(AG28,Weekly!E:E,0))</f>
        <v>1</v>
      </c>
      <c r="AJ28" s="69">
        <f>IF(AH28=-10,"",_xlfn.RANK.EQ(AH28,TopScores,0))</f>
        <v>27</v>
      </c>
      <c r="AL28" s="71" t="s">
        <v>294</v>
      </c>
      <c r="AM28" s="72">
        <f>INDEX(Picks!J:J,MATCH(AL28,Picks!A:A,0))</f>
        <v>22.338461538461541</v>
      </c>
      <c r="AN28" s="404">
        <f>INDEX(Weekly!I:I,MATCH(AL28,Weekly!E:E,0))</f>
        <v>1</v>
      </c>
      <c r="AO28" s="69">
        <f>IF(AM28="","",_xlfn.RANK.EQ(AM28,TopMaxScores,0))</f>
        <v>22</v>
      </c>
    </row>
    <row r="29" spans="1:41" ht="13.9" thickTop="1" thickBot="1">
      <c r="A29" s="604" t="str">
        <f>Results!B29</f>
        <v>Charlie Griffiths</v>
      </c>
      <c r="B29" s="604" t="str">
        <f>INDEX(Table!E:E,MATCH(A29,Table!F:F,0))</f>
        <v>C</v>
      </c>
      <c r="C29" s="645">
        <f>INDEX(Table!D:D,MATCH(A29,Table!F:F,0))</f>
        <v>15</v>
      </c>
      <c r="D29" s="649">
        <f>INDEX(Table!I:I,MATCH(A29,Table!F:F,0))</f>
        <v>-25.734999999999999</v>
      </c>
      <c r="E29" s="605" t="str">
        <f t="shared" si="1"/>
        <v>Chesterfield</v>
      </c>
      <c r="F29" s="606">
        <f>IF(M29="","",INDEX(Odds!C:C,MATCH(M29,Odds!G:G,0)))</f>
        <v>7</v>
      </c>
      <c r="G29" s="607">
        <f t="shared" si="2"/>
        <v>2.15</v>
      </c>
      <c r="H29" s="608" t="str">
        <f t="shared" si="3"/>
        <v>x</v>
      </c>
      <c r="I29" s="609">
        <f>IF(M29="",-10,INDEX(Results!T:T,MATCH(A29,Results!V:V,0)))</f>
        <v>-7</v>
      </c>
      <c r="J29" s="610">
        <f>IF(M29="","",INDEX(Results!AI:AI,MATCH(A29,Results!V:V,0)))</f>
        <v>30.587499999999999</v>
      </c>
      <c r="K29" s="348" t="str">
        <f>IF(INDEX(Table!Q:Q,MATCH(A29,Table!F:F,0))="N","N","Y")</f>
        <v>Y</v>
      </c>
      <c r="L29" s="347">
        <f>INDEX(Picks!AJ:AJ,MATCH(A29,Picks!AG:AG,0))</f>
        <v>40</v>
      </c>
      <c r="M29" s="407" t="s">
        <v>565</v>
      </c>
      <c r="N29" s="624" t="str">
        <f>INDEX(Odds!H:H,MATCH(M29,Odds!G:G,0))</f>
        <v>23/20</v>
      </c>
      <c r="O29" s="625">
        <f>INDEX(Odds!I:I,MATCH(M29,Odds!G:G,0))</f>
        <v>2.15</v>
      </c>
      <c r="P29" s="633">
        <f>INDEX(Odds!J:J,MATCH(M29,Odds!G:G,0))</f>
        <v>0</v>
      </c>
      <c r="Q29" s="627">
        <f t="shared" si="4"/>
        <v>0</v>
      </c>
      <c r="R29" s="504"/>
      <c r="S29" s="501" t="str">
        <f>IF(Match!B29="","",Match!V29)</f>
        <v xml:space="preserve">Iceland 1-1 Estonia </v>
      </c>
      <c r="T29" s="88"/>
      <c r="U29" s="35" t="str">
        <f>IF(Odds!G29="","",Odds!G29)</f>
        <v>Iceland</v>
      </c>
      <c r="V29" s="36" t="str">
        <f>INDEX(Odds!H:H,MATCH(U29,Odds!G:G,0))</f>
        <v>2/7</v>
      </c>
      <c r="W29" s="40">
        <f t="shared" si="0"/>
        <v>0</v>
      </c>
      <c r="X29" s="20" t="str">
        <f>INDEX(Match!Q:Q,MATCH(S29,Match!V:V,0))</f>
        <v>Iceland</v>
      </c>
      <c r="Y29" s="20">
        <f>INDEX(Match!G:G,MATCH(S29,Match!V:V,0))</f>
        <v>1</v>
      </c>
      <c r="Z29" s="20" t="str">
        <f>INDEX(Match!R:R,MATCH(S29,Match!V:V,0))</f>
        <v>Estonia</v>
      </c>
      <c r="AA29" s="20">
        <f>INDEX(Match!H:H,MATCH(S29,Match!V:V,0))</f>
        <v>1</v>
      </c>
      <c r="AB29" s="8">
        <f>INDEX(Odds!K:K,MATCH(M29,Odds!G:G,0))</f>
        <v>1</v>
      </c>
      <c r="AE29" s="507" t="str">
        <f>IF(R29="","",INDEX(Odds!H:H,MATCH(R29,Odds!G:G,0)))</f>
        <v/>
      </c>
      <c r="AF29" s="507" t="str">
        <f>IF(INDEX(Table!S:S,MATCH(A29,Table!F:F,0))="N","N","")</f>
        <v/>
      </c>
      <c r="AG29" s="69" t="s">
        <v>517</v>
      </c>
      <c r="AH29" s="72">
        <f>INDEX(Picks!I:I,MATCH(AG29,Picks!A:A,0))</f>
        <v>-5.15</v>
      </c>
      <c r="AI29" s="404">
        <f>INDEX(Weekly!I:I,MATCH(AG29,Weekly!E:E,0))</f>
        <v>1</v>
      </c>
      <c r="AJ29" s="69">
        <f>IF(AH29=-10,"",_xlfn.RANK.EQ(AH29,TopScores,0))</f>
        <v>28</v>
      </c>
      <c r="AL29" s="69" t="s">
        <v>535</v>
      </c>
      <c r="AM29" s="72">
        <f>INDEX(Picks!J:J,MATCH(AL29,Picks!A:A,0))</f>
        <v>22.625</v>
      </c>
      <c r="AN29" s="404">
        <f>INDEX(Weekly!I:I,MATCH(AL29,Weekly!E:E,0))</f>
        <v>1</v>
      </c>
      <c r="AO29" s="69">
        <f>IF(AM29="","",_xlfn.RANK.EQ(AM29,TopMaxScores,0))</f>
        <v>21</v>
      </c>
    </row>
    <row r="30" spans="1:41">
      <c r="A30" s="611" t="str">
        <f>A29</f>
        <v>Charlie Griffiths</v>
      </c>
      <c r="B30" s="611"/>
      <c r="C30" s="646"/>
      <c r="D30" s="650"/>
      <c r="E30" s="612" t="str">
        <f t="shared" si="1"/>
        <v>Reading</v>
      </c>
      <c r="F30" s="606">
        <f>IF(M30="","",INDEX(Odds!C:C,MATCH(M30,Odds!G:G,0)))</f>
        <v>7</v>
      </c>
      <c r="G30" s="613">
        <f t="shared" si="2"/>
        <v>2.5</v>
      </c>
      <c r="H30" s="614" t="str">
        <f t="shared" si="3"/>
        <v>x</v>
      </c>
      <c r="I30" s="615"/>
      <c r="J30" s="616"/>
      <c r="K30" s="348">
        <f>IF(J29="",0,1)</f>
        <v>1</v>
      </c>
      <c r="L30" s="348"/>
      <c r="M30" s="407" t="s">
        <v>549</v>
      </c>
      <c r="N30" s="628" t="str">
        <f>INDEX(Odds!H:H,MATCH(M30,Odds!G:G,0))</f>
        <v>6/4</v>
      </c>
      <c r="O30" s="629">
        <f>INDEX(Odds!I:I,MATCH(M30,Odds!G:G,0))</f>
        <v>2.5</v>
      </c>
      <c r="P30" s="626">
        <f>INDEX(Odds!J:J,MATCH(M30,Odds!G:G,0))</f>
        <v>0</v>
      </c>
      <c r="Q30" s="627">
        <f t="shared" si="4"/>
        <v>0</v>
      </c>
      <c r="R30" s="504"/>
      <c r="S30" s="501" t="str">
        <f>IF(Match!B30="","",Match!V30)</f>
        <v xml:space="preserve">Macedonia 0-3 Switzerland </v>
      </c>
      <c r="T30" s="88"/>
      <c r="U30" s="35" t="str">
        <f>IF(Odds!G30="","",Odds!G30)</f>
        <v>Macedonia</v>
      </c>
      <c r="V30" s="36" t="str">
        <f>INDEX(Odds!H:H,MATCH(U30,Odds!G:G,0))</f>
        <v>13/2</v>
      </c>
      <c r="W30" s="40">
        <f t="shared" si="0"/>
        <v>0</v>
      </c>
      <c r="X30" s="20" t="str">
        <f>INDEX(Match!Q:Q,MATCH(S30,Match!V:V,0))</f>
        <v>Macedonia</v>
      </c>
      <c r="Y30" s="20">
        <f>INDEX(Match!G:G,MATCH(S30,Match!V:V,0))</f>
        <v>0</v>
      </c>
      <c r="Z30" s="20" t="str">
        <f>INDEX(Match!R:R,MATCH(S30,Match!V:V,0))</f>
        <v>Switzerland</v>
      </c>
      <c r="AA30" s="20">
        <f>INDEX(Match!H:H,MATCH(S30,Match!V:V,0))</f>
        <v>3</v>
      </c>
      <c r="AB30" s="8">
        <f>INDEX(Odds!K:K,MATCH(M30,Odds!G:G,0))</f>
        <v>1</v>
      </c>
      <c r="AE30" s="507" t="str">
        <f>IF(R30="","",INDEX(Odds!H:H,MATCH(R30,Odds!G:G,0)))</f>
        <v/>
      </c>
      <c r="AF30" s="507" t="str">
        <f>IF(INDEX(Table!S:S,MATCH(A30,Table!F:F,0))="N","N","")</f>
        <v/>
      </c>
      <c r="AG30" s="528" t="s">
        <v>275</v>
      </c>
      <c r="AH30" s="72">
        <f>INDEX(Picks!I:I,MATCH(AG30,Picks!A:A,0))</f>
        <v>-5.2727272727272725</v>
      </c>
      <c r="AI30" s="404">
        <f>INDEX(Weekly!I:I,MATCH(AG30,Weekly!E:E,0))</f>
        <v>1</v>
      </c>
      <c r="AJ30" s="69">
        <f>IF(AH30=-10,"",_xlfn.RANK.EQ(AH30,TopScores,0))</f>
        <v>29</v>
      </c>
      <c r="AK30" s="58"/>
      <c r="AL30" s="71" t="s">
        <v>296</v>
      </c>
      <c r="AM30" s="72">
        <f>INDEX(Picks!J:J,MATCH(AL30,Picks!A:A,0))</f>
        <v>26.177500000000002</v>
      </c>
      <c r="AN30" s="404">
        <f>INDEX(Weekly!I:I,MATCH(AL30,Weekly!E:E,0))</f>
        <v>0</v>
      </c>
      <c r="AO30" s="69">
        <f>IF(AM30="","",_xlfn.RANK.EQ(AM30,TopMaxScores,0))</f>
        <v>20</v>
      </c>
    </row>
    <row r="31" spans="1:41" ht="13.5" thickBot="1">
      <c r="A31" s="617" t="str">
        <f>A29</f>
        <v>Charlie Griffiths</v>
      </c>
      <c r="B31" s="617"/>
      <c r="C31" s="647"/>
      <c r="D31" s="651"/>
      <c r="E31" s="618" t="str">
        <f t="shared" si="1"/>
        <v>Tamworth</v>
      </c>
      <c r="F31" s="619">
        <f>IF(M31="","",INDEX(Odds!C:C,MATCH(M31,Odds!G:G,0)))</f>
        <v>1</v>
      </c>
      <c r="G31" s="620">
        <f t="shared" si="2"/>
        <v>2.5</v>
      </c>
      <c r="H31" s="614" t="str">
        <f t="shared" si="3"/>
        <v>x</v>
      </c>
      <c r="I31" s="615"/>
      <c r="J31" s="616"/>
      <c r="K31" s="348"/>
      <c r="L31" s="348"/>
      <c r="M31" s="408" t="s">
        <v>616</v>
      </c>
      <c r="N31" s="630" t="str">
        <f>INDEX(Odds!H:H,MATCH(M31,Odds!G:G,0))</f>
        <v>6/4</v>
      </c>
      <c r="O31" s="631">
        <f>INDEX(Odds!I:I,MATCH(M31,Odds!G:G,0))</f>
        <v>2.5</v>
      </c>
      <c r="P31" s="626">
        <f>INDEX(Odds!J:J,MATCH(M31,Odds!G:G,0))</f>
        <v>0</v>
      </c>
      <c r="Q31" s="632">
        <f t="shared" si="4"/>
        <v>0</v>
      </c>
      <c r="R31" s="505"/>
      <c r="S31" s="501" t="str">
        <f>IF(Match!B31="","",Match!V31)</f>
        <v xml:space="preserve">San Marino 0-7 Finland </v>
      </c>
      <c r="T31" s="88"/>
      <c r="U31" s="35" t="str">
        <f>IF(Odds!G31="","",Odds!G31)</f>
        <v>San Marino</v>
      </c>
      <c r="V31" s="36" t="str">
        <f>INDEX(Odds!H:H,MATCH(U31,Odds!G:G,0))</f>
        <v>35/1</v>
      </c>
      <c r="W31" s="40">
        <f t="shared" si="0"/>
        <v>0</v>
      </c>
      <c r="X31" s="20" t="str">
        <f>INDEX(Match!Q:Q,MATCH(S31,Match!V:V,0))</f>
        <v>San Marino</v>
      </c>
      <c r="Y31" s="20">
        <f>INDEX(Match!G:G,MATCH(S31,Match!V:V,0))</f>
        <v>0</v>
      </c>
      <c r="Z31" s="20" t="str">
        <f>INDEX(Match!R:R,MATCH(S31,Match!V:V,0))</f>
        <v>Finland</v>
      </c>
      <c r="AA31" s="20">
        <f>INDEX(Match!H:H,MATCH(S31,Match!V:V,0))</f>
        <v>7</v>
      </c>
      <c r="AB31" s="8">
        <f>INDEX(Odds!K:K,MATCH(M31,Odds!G:G,0))</f>
        <v>1</v>
      </c>
      <c r="AE31" s="508" t="str">
        <f>IF(R31="","",INDEX(Odds!H:H,MATCH(R31,Odds!G:G,0)))</f>
        <v/>
      </c>
      <c r="AF31" s="508" t="str">
        <f>IF(INDEX(Table!S:S,MATCH(A31,Table!F:F,0))="N","N","")</f>
        <v/>
      </c>
      <c r="AG31" s="69" t="s">
        <v>283</v>
      </c>
      <c r="AH31" s="72">
        <f>INDEX(Picks!I:I,MATCH(AG31,Picks!A:A,0))</f>
        <v>-5.2727272727272725</v>
      </c>
      <c r="AI31" s="404">
        <f>INDEX(Weekly!I:I,MATCH(AG31,Weekly!E:E,0))</f>
        <v>1</v>
      </c>
      <c r="AJ31" s="69">
        <f>IF(AH31=-10,"",_xlfn.RANK.EQ(AH31,TopScores,0))</f>
        <v>29</v>
      </c>
      <c r="AL31" s="69" t="s">
        <v>534</v>
      </c>
      <c r="AM31" s="72">
        <f>INDEX(Picks!J:J,MATCH(AL31,Picks!A:A,0))</f>
        <v>28.960000000000008</v>
      </c>
      <c r="AN31" s="404">
        <f>INDEX(Weekly!I:I,MATCH(AL31,Weekly!E:E,0))</f>
        <v>1</v>
      </c>
      <c r="AO31" s="69">
        <f>IF(AM31="","",_xlfn.RANK.EQ(AM31,TopMaxScores,0))</f>
        <v>19</v>
      </c>
    </row>
    <row r="32" spans="1:41" ht="13.9" thickTop="1" thickBot="1">
      <c r="A32" s="604" t="str">
        <f>Results!B32</f>
        <v>Chris Bow</v>
      </c>
      <c r="B32" s="604" t="str">
        <f>INDEX(Table!E:E,MATCH(A32,Table!F:F,0))</f>
        <v>C</v>
      </c>
      <c r="C32" s="645">
        <f>INDEX(Table!D:D,MATCH(A32,Table!F:F,0))</f>
        <v>16</v>
      </c>
      <c r="D32" s="649">
        <f>INDEX(Table!I:I,MATCH(A32,Table!F:F,0))</f>
        <v>-27.1875</v>
      </c>
      <c r="E32" s="605" t="str">
        <f t="shared" si="1"/>
        <v>Faroe Islands</v>
      </c>
      <c r="F32" s="606">
        <f>IF(M32="","",INDEX(Odds!C:C,MATCH(M32,Odds!G:G,0)))</f>
        <v>7</v>
      </c>
      <c r="G32" s="607">
        <f t="shared" si="2"/>
        <v>2.2999999999999998</v>
      </c>
      <c r="H32" s="608" t="str">
        <f t="shared" si="3"/>
        <v>x</v>
      </c>
      <c r="I32" s="609">
        <f>IF(M32="",-10,INDEX(Results!T:T,MATCH(A32,Results!V:V,0)))</f>
        <v>-4.8499999999999996</v>
      </c>
      <c r="J32" s="610">
        <f>IF(M32="","",INDEX(Results!AI:AI,MATCH(A32,Results!V:V,0)))</f>
        <v>29.421999999999997</v>
      </c>
      <c r="K32" s="348" t="str">
        <f>IF(INDEX(Table!Q:Q,MATCH(A32,Table!F:F,0))="N","N","Y")</f>
        <v>Y</v>
      </c>
      <c r="L32" s="347">
        <f>INDEX(Picks!AJ:AJ,MATCH(A32,Picks!AG:AG,0))</f>
        <v>27</v>
      </c>
      <c r="M32" s="407" t="s">
        <v>602</v>
      </c>
      <c r="N32" s="624" t="str">
        <f>INDEX(Odds!H:H,MATCH(M32,Odds!G:G,0))</f>
        <v>13/10</v>
      </c>
      <c r="O32" s="625">
        <f>INDEX(Odds!I:I,MATCH(M32,Odds!G:G,0))</f>
        <v>2.2999999999999998</v>
      </c>
      <c r="P32" s="633">
        <f>INDEX(Odds!J:J,MATCH(M32,Odds!G:G,0))</f>
        <v>0</v>
      </c>
      <c r="Q32" s="627">
        <f t="shared" si="4"/>
        <v>0</v>
      </c>
      <c r="R32" s="504"/>
      <c r="S32" s="501" t="str">
        <f>IF(Match!B32="","",Match!V32)</f>
        <v xml:space="preserve">Slovakia 2-0 Moldova </v>
      </c>
      <c r="T32" s="88"/>
      <c r="U32" s="35" t="str">
        <f>IF(Odds!G32="","",Odds!G32)</f>
        <v>Slovakia</v>
      </c>
      <c r="V32" s="36" t="str">
        <f>INDEX(Odds!H:H,MATCH(U32,Odds!G:G,0))</f>
        <v>1/4</v>
      </c>
      <c r="W32" s="40">
        <f t="shared" si="0"/>
        <v>1</v>
      </c>
      <c r="X32" s="20" t="str">
        <f>INDEX(Match!Q:Q,MATCH(S32,Match!V:V,0))</f>
        <v>Slovakia</v>
      </c>
      <c r="Y32" s="20">
        <f>INDEX(Match!G:G,MATCH(S32,Match!V:V,0))</f>
        <v>2</v>
      </c>
      <c r="Z32" s="20" t="str">
        <f>INDEX(Match!R:R,MATCH(S32,Match!V:V,0))</f>
        <v>Moldova</v>
      </c>
      <c r="AA32" s="20">
        <f>INDEX(Match!H:H,MATCH(S32,Match!V:V,0))</f>
        <v>0</v>
      </c>
      <c r="AB32" s="8">
        <f>INDEX(Odds!K:K,MATCH(M32,Odds!G:G,0))</f>
        <v>1</v>
      </c>
      <c r="AE32" s="507" t="str">
        <f>IF(R32="","",INDEX(Odds!H:H,MATCH(R32,Odds!G:G,0)))</f>
        <v/>
      </c>
      <c r="AF32" s="507" t="str">
        <f>IF(INDEX(Table!S:S,MATCH(A32,Table!F:F,0))="N","N","")</f>
        <v/>
      </c>
      <c r="AG32" s="69" t="s">
        <v>267</v>
      </c>
      <c r="AH32" s="72">
        <f>INDEX(Picks!I:I,MATCH(AG32,Picks!A:A,0))</f>
        <v>-5.2727272727272725</v>
      </c>
      <c r="AI32" s="404">
        <f>INDEX(Weekly!I:I,MATCH(AG32,Weekly!E:E,0))</f>
        <v>1</v>
      </c>
      <c r="AJ32" s="69">
        <f>IF(AH32=-10,"",_xlfn.RANK.EQ(AH32,TopScores,0))</f>
        <v>29</v>
      </c>
      <c r="AL32" s="71" t="s">
        <v>295</v>
      </c>
      <c r="AM32" s="72">
        <f>INDEX(Picks!J:J,MATCH(AL32,Picks!A:A,0))</f>
        <v>29.421999999999997</v>
      </c>
      <c r="AN32" s="404">
        <f>INDEX(Weekly!I:I,MATCH(AL32,Weekly!E:E,0))</f>
        <v>1</v>
      </c>
      <c r="AO32" s="69">
        <f>IF(AM32="","",_xlfn.RANK.EQ(AM32,TopMaxScores,0))</f>
        <v>18</v>
      </c>
    </row>
    <row r="33" spans="1:41">
      <c r="A33" s="611" t="str">
        <f>A32</f>
        <v>Chris Bow</v>
      </c>
      <c r="B33" s="611"/>
      <c r="C33" s="646"/>
      <c r="D33" s="650"/>
      <c r="E33" s="612" t="str">
        <f t="shared" si="1"/>
        <v>Croatia</v>
      </c>
      <c r="F33" s="606">
        <f>IF(M33="","",INDEX(Odds!C:C,MATCH(M33,Odds!G:G,0)))</f>
        <v>7</v>
      </c>
      <c r="G33" s="613">
        <f t="shared" si="2"/>
        <v>2.15</v>
      </c>
      <c r="H33" s="614" t="str">
        <f t="shared" si="3"/>
        <v>√</v>
      </c>
      <c r="I33" s="615"/>
      <c r="J33" s="616"/>
      <c r="K33" s="348">
        <f>IF(J32="",0,1)</f>
        <v>1</v>
      </c>
      <c r="L33" s="348"/>
      <c r="M33" s="407" t="s">
        <v>599</v>
      </c>
      <c r="N33" s="628" t="str">
        <f>INDEX(Odds!H:H,MATCH(M33,Odds!G:G,0))</f>
        <v>23/20</v>
      </c>
      <c r="O33" s="629">
        <f>INDEX(Odds!I:I,MATCH(M33,Odds!G:G,0))</f>
        <v>2.15</v>
      </c>
      <c r="P33" s="626">
        <f>INDEX(Odds!J:J,MATCH(M33,Odds!G:G,0))</f>
        <v>1</v>
      </c>
      <c r="Q33" s="627">
        <f t="shared" si="4"/>
        <v>2.15</v>
      </c>
      <c r="R33" s="504"/>
      <c r="S33" s="501" t="str">
        <f>IF(Match!B33="","",Match!V33)</f>
        <v xml:space="preserve">Slovenia 0-0 Scotland </v>
      </c>
      <c r="T33" s="88"/>
      <c r="U33" s="35" t="str">
        <f>IF(Odds!G33="","",Odds!G33)</f>
        <v>Slovenia</v>
      </c>
      <c r="V33" s="36" t="str">
        <f>INDEX(Odds!H:H,MATCH(U33,Odds!G:G,0))</f>
        <v>8/5</v>
      </c>
      <c r="W33" s="40">
        <f t="shared" si="0"/>
        <v>0</v>
      </c>
      <c r="X33" s="20" t="str">
        <f>INDEX(Match!Q:Q,MATCH(S33,Match!V:V,0))</f>
        <v>Slovenia</v>
      </c>
      <c r="Y33" s="20">
        <f>INDEX(Match!G:G,MATCH(S33,Match!V:V,0))</f>
        <v>0</v>
      </c>
      <c r="Z33" s="20" t="str">
        <f>INDEX(Match!R:R,MATCH(S33,Match!V:V,0))</f>
        <v>Scotland</v>
      </c>
      <c r="AA33" s="20">
        <f>INDEX(Match!H:H,MATCH(S33,Match!V:V,0))</f>
        <v>0</v>
      </c>
      <c r="AB33" s="8">
        <f>INDEX(Odds!K:K,MATCH(M33,Odds!G:G,0))</f>
        <v>1</v>
      </c>
      <c r="AE33" s="507" t="str">
        <f>IF(R33="","",INDEX(Odds!H:H,MATCH(R33,Odds!G:G,0)))</f>
        <v/>
      </c>
      <c r="AF33" s="507" t="str">
        <f>IF(INDEX(Table!S:S,MATCH(A33,Table!F:F,0))="N","N","")</f>
        <v/>
      </c>
      <c r="AG33" s="71" t="s">
        <v>286</v>
      </c>
      <c r="AH33" s="72">
        <f>INDEX(Picks!I:I,MATCH(AG33,Picks!A:A,0))</f>
        <v>-5.35</v>
      </c>
      <c r="AI33" s="404">
        <f>INDEX(Weekly!I:I,MATCH(AG33,Weekly!E:E,0))</f>
        <v>1</v>
      </c>
      <c r="AJ33" s="69">
        <f>IF(AH33=-10,"",_xlfn.RANK.EQ(AH33,TopScores,0))</f>
        <v>32</v>
      </c>
      <c r="AL33" s="71" t="s">
        <v>482</v>
      </c>
      <c r="AM33" s="72">
        <f>INDEX(Picks!J:J,MATCH(AL33,Picks!A:A,0))</f>
        <v>29.799999999999997</v>
      </c>
      <c r="AN33" s="404">
        <f>INDEX(Weekly!I:I,MATCH(AL33,Weekly!E:E,0))</f>
        <v>2</v>
      </c>
      <c r="AO33" s="69">
        <f>IF(AM33="","",_xlfn.RANK.EQ(AM33,TopMaxScores,0))</f>
        <v>17</v>
      </c>
    </row>
    <row r="34" spans="1:41" ht="13.5" thickBot="1">
      <c r="A34" s="617" t="str">
        <f>A32</f>
        <v>Chris Bow</v>
      </c>
      <c r="B34" s="617"/>
      <c r="C34" s="647"/>
      <c r="D34" s="651"/>
      <c r="E34" s="618" t="str">
        <f t="shared" si="1"/>
        <v>Slovenia</v>
      </c>
      <c r="F34" s="619">
        <f>IF(M34="","",INDEX(Odds!C:C,MATCH(M34,Odds!G:G,0)))</f>
        <v>7</v>
      </c>
      <c r="G34" s="620">
        <f t="shared" si="2"/>
        <v>2.6</v>
      </c>
      <c r="H34" s="614" t="str">
        <f t="shared" si="3"/>
        <v>x</v>
      </c>
      <c r="I34" s="615"/>
      <c r="J34" s="616"/>
      <c r="K34" s="348"/>
      <c r="L34" s="348"/>
      <c r="M34" s="408" t="s">
        <v>612</v>
      </c>
      <c r="N34" s="630" t="str">
        <f>INDEX(Odds!H:H,MATCH(M34,Odds!G:G,0))</f>
        <v>8/5</v>
      </c>
      <c r="O34" s="631">
        <f>INDEX(Odds!I:I,MATCH(M34,Odds!G:G,0))</f>
        <v>2.6</v>
      </c>
      <c r="P34" s="626">
        <f>INDEX(Odds!J:J,MATCH(M34,Odds!G:G,0))</f>
        <v>0</v>
      </c>
      <c r="Q34" s="632">
        <f t="shared" si="4"/>
        <v>0</v>
      </c>
      <c r="R34" s="505"/>
      <c r="S34" s="501" t="str">
        <f>IF(Match!B34="","",Match!V34)</f>
        <v xml:space="preserve">Aldershot 5-1 Tamworth </v>
      </c>
      <c r="T34" s="88"/>
      <c r="U34" s="35" t="str">
        <f>IF(Odds!G34="","",Odds!G34)</f>
        <v>Aldershot</v>
      </c>
      <c r="V34" s="36" t="str">
        <f>INDEX(Odds!H:H,MATCH(U34,Odds!G:G,0))</f>
        <v>7/5</v>
      </c>
      <c r="W34" s="40">
        <f t="shared" si="0"/>
        <v>1</v>
      </c>
      <c r="X34" s="20" t="str">
        <f>INDEX(Match!Q:Q,MATCH(S34,Match!V:V,0))</f>
        <v>Aldershot</v>
      </c>
      <c r="Y34" s="20">
        <f>INDEX(Match!G:G,MATCH(S34,Match!V:V,0))</f>
        <v>5</v>
      </c>
      <c r="Z34" s="20" t="str">
        <f>INDEX(Match!R:R,MATCH(S34,Match!V:V,0))</f>
        <v>Tamworth</v>
      </c>
      <c r="AA34" s="20">
        <f>INDEX(Match!H:H,MATCH(S34,Match!V:V,0))</f>
        <v>1</v>
      </c>
      <c r="AB34" s="8">
        <f>INDEX(Odds!K:K,MATCH(M34,Odds!G:G,0))</f>
        <v>1</v>
      </c>
      <c r="AE34" s="508" t="str">
        <f>IF(R34="","",INDEX(Odds!H:H,MATCH(R34,Odds!G:G,0)))</f>
        <v/>
      </c>
      <c r="AF34" s="508" t="str">
        <f>IF(INDEX(Table!S:S,MATCH(A34,Table!F:F,0))="N","N","")</f>
        <v/>
      </c>
      <c r="AG34" s="69" t="s">
        <v>535</v>
      </c>
      <c r="AH34" s="72">
        <f>INDEX(Picks!I:I,MATCH(AG34,Picks!A:A,0))</f>
        <v>-5.5</v>
      </c>
      <c r="AI34" s="404">
        <f>INDEX(Weekly!I:I,MATCH(AG34,Weekly!E:E,0))</f>
        <v>1</v>
      </c>
      <c r="AJ34" s="69">
        <f>IF(AH34=-10,"",_xlfn.RANK.EQ(AH34,TopScores,0))</f>
        <v>33</v>
      </c>
      <c r="AL34" s="69" t="s">
        <v>274</v>
      </c>
      <c r="AM34" s="72">
        <f>INDEX(Picks!J:J,MATCH(AL34,Picks!A:A,0))</f>
        <v>29.944000000000003</v>
      </c>
      <c r="AN34" s="404">
        <f>INDEX(Weekly!I:I,MATCH(AL34,Weekly!E:E,0))</f>
        <v>1</v>
      </c>
      <c r="AO34" s="69">
        <f>IF(AM34="","",_xlfn.RANK.EQ(AM34,TopMaxScores,0))</f>
        <v>16</v>
      </c>
    </row>
    <row r="35" spans="1:41" ht="13.9" thickTop="1" thickBot="1">
      <c r="A35" s="604" t="str">
        <f>Results!B35</f>
        <v>Chris Griffin</v>
      </c>
      <c r="B35" s="604" t="str">
        <f>INDEX(Table!E:E,MATCH(A35,Table!F:F,0))</f>
        <v>B</v>
      </c>
      <c r="C35" s="645">
        <f>INDEX(Table!D:D,MATCH(A35,Table!F:F,0))</f>
        <v>16</v>
      </c>
      <c r="D35" s="649">
        <f>INDEX(Table!I:I,MATCH(A35,Table!F:F,0))</f>
        <v>-36.518181818181816</v>
      </c>
      <c r="E35" s="605" t="str">
        <f t="shared" si="1"/>
        <v>Italy draw</v>
      </c>
      <c r="F35" s="606">
        <f>IF(M35="","",INDEX(Odds!C:C,MATCH(M35,Odds!G:G,0)))</f>
        <v>6</v>
      </c>
      <c r="G35" s="607">
        <f t="shared" si="2"/>
        <v>3.4</v>
      </c>
      <c r="H35" s="608" t="str">
        <f t="shared" si="3"/>
        <v>x</v>
      </c>
      <c r="I35" s="609">
        <f>IF(M35="",-10,INDEX(Results!T:T,MATCH(A35,Results!V:V,0)))</f>
        <v>-7</v>
      </c>
      <c r="J35" s="610">
        <f>IF(M35="","",INDEX(Results!AI:AI,MATCH(A35,Results!V:V,0)))</f>
        <v>58.74799999999999</v>
      </c>
      <c r="K35" s="348" t="str">
        <f>IF(INDEX(Table!Q:Q,MATCH(A35,Table!F:F,0))="N","N","Y")</f>
        <v>Y</v>
      </c>
      <c r="L35" s="347">
        <f>INDEX(Picks!AJ:AJ,MATCH(A35,Picks!AG:AG,0))</f>
        <v>40</v>
      </c>
      <c r="M35" s="407" t="s">
        <v>646</v>
      </c>
      <c r="N35" s="624" t="str">
        <f>INDEX(Odds!H:H,MATCH(M35,Odds!G:G,0))</f>
        <v>12/5</v>
      </c>
      <c r="O35" s="625">
        <f>INDEX(Odds!I:I,MATCH(M35,Odds!G:G,0))</f>
        <v>3.4</v>
      </c>
      <c r="P35" s="633">
        <f>INDEX(Odds!J:J,MATCH(M35,Odds!G:G,0))</f>
        <v>0</v>
      </c>
      <c r="Q35" s="627">
        <f t="shared" si="4"/>
        <v>0</v>
      </c>
      <c r="R35" s="504"/>
      <c r="S35" s="501" t="str">
        <f>IF(Match!B35="","",Match!V35)</f>
        <v xml:space="preserve">Altrincham 3-0 AFC Hornchurch </v>
      </c>
      <c r="T35" s="88"/>
      <c r="U35" s="35" t="str">
        <f>IF(Odds!G35="","",Odds!G35)</f>
        <v>Altrincham</v>
      </c>
      <c r="V35" s="36" t="str">
        <f>INDEX(Odds!H:H,MATCH(U35,Odds!G:G,0))</f>
        <v>6/5</v>
      </c>
      <c r="W35" s="40">
        <f t="shared" si="0"/>
        <v>1</v>
      </c>
      <c r="X35" s="20" t="str">
        <f>INDEX(Match!Q:Q,MATCH(S35,Match!V:V,0))</f>
        <v>Altrincham</v>
      </c>
      <c r="Y35" s="20">
        <f>INDEX(Match!G:G,MATCH(S35,Match!V:V,0))</f>
        <v>3</v>
      </c>
      <c r="Z35" s="20" t="str">
        <f>INDEX(Match!R:R,MATCH(S35,Match!V:V,0))</f>
        <v>AFC Hornchurch</v>
      </c>
      <c r="AA35" s="20">
        <f>INDEX(Match!H:H,MATCH(S35,Match!V:V,0))</f>
        <v>0</v>
      </c>
      <c r="AB35" s="8">
        <f>INDEX(Odds!K:K,MATCH(M35,Odds!G:G,0))</f>
        <v>1</v>
      </c>
      <c r="AE35" s="507" t="str">
        <f>IF(R35="","",INDEX(Odds!H:H,MATCH(R35,Odds!G:G,0)))</f>
        <v/>
      </c>
      <c r="AF35" s="507" t="str">
        <f>IF(INDEX(Table!S:S,MATCH(A35,Table!F:F,0))="N","N","")</f>
        <v/>
      </c>
      <c r="AG35" s="69" t="s">
        <v>271</v>
      </c>
      <c r="AH35" s="72">
        <f>INDEX(Picks!I:I,MATCH(AG35,Picks!A:A,0))</f>
        <v>-5.5</v>
      </c>
      <c r="AI35" s="404">
        <f>INDEX(Weekly!I:I,MATCH(AG35,Weekly!E:E,0))</f>
        <v>1</v>
      </c>
      <c r="AJ35" s="69">
        <f>IF(AH35=-10,"",_xlfn.RANK.EQ(AH35,TopScores,0))</f>
        <v>33</v>
      </c>
      <c r="AL35" s="71" t="s">
        <v>291</v>
      </c>
      <c r="AM35" s="72">
        <f>INDEX(Picks!J:J,MATCH(AL35,Picks!A:A,0))</f>
        <v>30.587499999999999</v>
      </c>
      <c r="AN35" s="404">
        <f>INDEX(Weekly!I:I,MATCH(AL35,Weekly!E:E,0))</f>
        <v>0</v>
      </c>
      <c r="AO35" s="69">
        <f>IF(AM35="","",_xlfn.RANK.EQ(AM35,TopMaxScores,0))</f>
        <v>15</v>
      </c>
    </row>
    <row r="36" spans="1:41">
      <c r="A36" s="611" t="str">
        <f>A35</f>
        <v>Chris Griffin</v>
      </c>
      <c r="B36" s="611"/>
      <c r="C36" s="646"/>
      <c r="D36" s="650"/>
      <c r="E36" s="612" t="str">
        <f t="shared" si="1"/>
        <v>Walsall</v>
      </c>
      <c r="F36" s="606">
        <f>IF(M36="","",INDEX(Odds!C:C,MATCH(M36,Odds!G:G,0)))</f>
        <v>7</v>
      </c>
      <c r="G36" s="613">
        <f t="shared" si="2"/>
        <v>2.7</v>
      </c>
      <c r="H36" s="614" t="str">
        <f t="shared" si="3"/>
        <v>x</v>
      </c>
      <c r="I36" s="615"/>
      <c r="J36" s="616"/>
      <c r="K36" s="348">
        <f>IF(J35="",0,1)</f>
        <v>1</v>
      </c>
      <c r="L36" s="348"/>
      <c r="M36" s="407" t="s">
        <v>568</v>
      </c>
      <c r="N36" s="628" t="str">
        <f>INDEX(Odds!H:H,MATCH(M36,Odds!G:G,0))</f>
        <v>17/10</v>
      </c>
      <c r="O36" s="629">
        <f>INDEX(Odds!I:I,MATCH(M36,Odds!G:G,0))</f>
        <v>2.7</v>
      </c>
      <c r="P36" s="626">
        <f>INDEX(Odds!J:J,MATCH(M36,Odds!G:G,0))</f>
        <v>0</v>
      </c>
      <c r="Q36" s="627">
        <f t="shared" si="4"/>
        <v>0</v>
      </c>
      <c r="R36" s="504"/>
      <c r="S36" s="501" t="str">
        <f>IF(Match!B36="","",Match!V36)</f>
        <v xml:space="preserve">Scunthorpe 4-1 Hartlepool </v>
      </c>
      <c r="T36" s="88"/>
      <c r="U36" s="35" t="str">
        <f>IF(Odds!G36="","",Odds!G36)</f>
        <v>Scunthorpe</v>
      </c>
      <c r="V36" s="36" t="str">
        <f>INDEX(Odds!H:H,MATCH(U36,Odds!G:G,0))</f>
        <v>21/20</v>
      </c>
      <c r="W36" s="40">
        <f t="shared" si="0"/>
        <v>1</v>
      </c>
      <c r="X36" s="20" t="str">
        <f>INDEX(Match!Q:Q,MATCH(S36,Match!V:V,0))</f>
        <v>Scunthorpe</v>
      </c>
      <c r="Y36" s="20">
        <f>INDEX(Match!G:G,MATCH(S36,Match!V:V,0))</f>
        <v>4</v>
      </c>
      <c r="Z36" s="20" t="str">
        <f>INDEX(Match!R:R,MATCH(S36,Match!V:V,0))</f>
        <v>Hartlepool</v>
      </c>
      <c r="AA36" s="20">
        <f>INDEX(Match!H:H,MATCH(S36,Match!V:V,0))</f>
        <v>1</v>
      </c>
      <c r="AB36" s="8">
        <f>INDEX(Odds!K:K,MATCH(M36,Odds!G:G,0))</f>
        <v>1</v>
      </c>
      <c r="AE36" s="507" t="str">
        <f>IF(R36="","",INDEX(Odds!H:H,MATCH(R36,Odds!G:G,0)))</f>
        <v/>
      </c>
      <c r="AF36" s="507" t="str">
        <f>IF(INDEX(Table!S:S,MATCH(A36,Table!F:F,0))="N","N","")</f>
        <v/>
      </c>
      <c r="AG36" s="69" t="s">
        <v>512</v>
      </c>
      <c r="AH36" s="72">
        <f>INDEX(Picks!I:I,MATCH(AG36,Picks!A:A,0))</f>
        <v>-5.6363636363636367</v>
      </c>
      <c r="AI36" s="404">
        <f>INDEX(Weekly!I:I,MATCH(AG36,Weekly!E:E,0))</f>
        <v>1</v>
      </c>
      <c r="AJ36" s="69">
        <f>IF(AH36=-10,"",_xlfn.RANK.EQ(AH36,TopScores,0))</f>
        <v>35</v>
      </c>
      <c r="AL36" s="71" t="s">
        <v>518</v>
      </c>
      <c r="AM36" s="72">
        <f>INDEX(Picks!J:J,MATCH(AL36,Picks!A:A,0))</f>
        <v>33.440000000000005</v>
      </c>
      <c r="AN36" s="404">
        <f>INDEX(Weekly!I:I,MATCH(AL36,Weekly!E:E,0))</f>
        <v>0</v>
      </c>
      <c r="AO36" s="69">
        <f>IF(AM36="","",_xlfn.RANK.EQ(AM36,TopMaxScores,0))</f>
        <v>14</v>
      </c>
    </row>
    <row r="37" spans="1:41" ht="13.5" thickBot="1">
      <c r="A37" s="617" t="str">
        <f>A35</f>
        <v>Chris Griffin</v>
      </c>
      <c r="B37" s="617"/>
      <c r="C37" s="647"/>
      <c r="D37" s="651"/>
      <c r="E37" s="618" t="str">
        <f t="shared" si="1"/>
        <v>England draw</v>
      </c>
      <c r="F37" s="619">
        <f>IF(M37="","",INDEX(Odds!C:C,MATCH(M37,Odds!G:G,0)))</f>
        <v>7</v>
      </c>
      <c r="G37" s="620">
        <f t="shared" si="2"/>
        <v>3.1</v>
      </c>
      <c r="H37" s="614" t="str">
        <f t="shared" si="3"/>
        <v>x</v>
      </c>
      <c r="I37" s="615"/>
      <c r="J37" s="616"/>
      <c r="K37" s="348"/>
      <c r="L37" s="348"/>
      <c r="M37" s="408" t="s">
        <v>647</v>
      </c>
      <c r="N37" s="630" t="str">
        <f>INDEX(Odds!H:H,MATCH(M37,Odds!G:G,0))</f>
        <v>21/10</v>
      </c>
      <c r="O37" s="631">
        <f>INDEX(Odds!I:I,MATCH(M37,Odds!G:G,0))</f>
        <v>3.1</v>
      </c>
      <c r="P37" s="626">
        <f>INDEX(Odds!J:J,MATCH(M37,Odds!G:G,0))</f>
        <v>0</v>
      </c>
      <c r="Q37" s="632">
        <f t="shared" si="4"/>
        <v>0</v>
      </c>
      <c r="R37" s="505"/>
      <c r="S37" s="501" t="str">
        <f>IF(Match!B37="","",Match!V37)</f>
        <v xml:space="preserve">Southend 2-4 Barrow </v>
      </c>
      <c r="T37" s="88"/>
      <c r="U37" s="35" t="str">
        <f>IF(Odds!G37="","",Odds!G37)</f>
        <v>Southend</v>
      </c>
      <c r="V37" s="36" t="str">
        <f>INDEX(Odds!H:H,MATCH(U37,Odds!G:G,0))</f>
        <v>3/4</v>
      </c>
      <c r="W37" s="40">
        <f t="shared" si="0"/>
        <v>0</v>
      </c>
      <c r="X37" s="20" t="str">
        <f>INDEX(Match!Q:Q,MATCH(S37,Match!V:V,0))</f>
        <v>Southend</v>
      </c>
      <c r="Y37" s="20">
        <f>INDEX(Match!G:G,MATCH(S37,Match!V:V,0))</f>
        <v>2</v>
      </c>
      <c r="Z37" s="20" t="str">
        <f>INDEX(Match!R:R,MATCH(S37,Match!V:V,0))</f>
        <v>Barrow</v>
      </c>
      <c r="AA37" s="20">
        <f>INDEX(Match!H:H,MATCH(S37,Match!V:V,0))</f>
        <v>4</v>
      </c>
      <c r="AB37" s="8">
        <f>INDEX(Odds!K:K,MATCH(M37,Odds!G:G,0))</f>
        <v>1</v>
      </c>
      <c r="AE37" s="508" t="str">
        <f>IF(R37="","",INDEX(Odds!H:H,MATCH(R37,Odds!G:G,0)))</f>
        <v/>
      </c>
      <c r="AF37" s="508" t="str">
        <f>IF(INDEX(Table!S:S,MATCH(A37,Table!F:F,0))="N","N","")</f>
        <v/>
      </c>
      <c r="AG37" s="69" t="s">
        <v>488</v>
      </c>
      <c r="AH37" s="72">
        <f>INDEX(Picks!I:I,MATCH(AG37,Picks!A:A,0))</f>
        <v>-5.6363636363636367</v>
      </c>
      <c r="AI37" s="404">
        <f>INDEX(Weekly!I:I,MATCH(AG37,Weekly!E:E,0))</f>
        <v>1</v>
      </c>
      <c r="AJ37" s="69">
        <f>IF(AH37=-10,"",_xlfn.RANK.EQ(AH37,TopScores,0))</f>
        <v>35</v>
      </c>
      <c r="AL37" s="69" t="s">
        <v>277</v>
      </c>
      <c r="AM37" s="72">
        <f>INDEX(Picks!J:J,MATCH(AL37,Picks!A:A,0))</f>
        <v>34.516999999999996</v>
      </c>
      <c r="AN37" s="404">
        <f>INDEX(Weekly!I:I,MATCH(AL37,Weekly!E:E,0))</f>
        <v>1</v>
      </c>
      <c r="AO37" s="69">
        <f>IF(AM37="","",_xlfn.RANK.EQ(AM37,TopMaxScores,0))</f>
        <v>13</v>
      </c>
    </row>
    <row r="38" spans="1:41" ht="13.9" thickTop="1" thickBot="1">
      <c r="A38" s="604" t="str">
        <f>Results!B38</f>
        <v>Chris Luck</v>
      </c>
      <c r="B38" s="604" t="str">
        <f>INDEX(Table!E:E,MATCH(A38,Table!F:F,0))</f>
        <v>B</v>
      </c>
      <c r="C38" s="645">
        <f>INDEX(Table!D:D,MATCH(A38,Table!F:F,0))</f>
        <v>12</v>
      </c>
      <c r="D38" s="649">
        <f>INDEX(Table!I:I,MATCH(A38,Table!F:F,0))</f>
        <v>-20.5</v>
      </c>
      <c r="E38" s="605" t="str">
        <f t="shared" si="1"/>
        <v>Reading</v>
      </c>
      <c r="F38" s="606">
        <f>IF(M38="","",INDEX(Odds!C:C,MATCH(M38,Odds!G:G,0)))</f>
        <v>7</v>
      </c>
      <c r="G38" s="607">
        <f t="shared" si="2"/>
        <v>2.5</v>
      </c>
      <c r="H38" s="608" t="str">
        <f t="shared" si="3"/>
        <v>x</v>
      </c>
      <c r="I38" s="609">
        <f>IF(M38="",-10,INDEX(Results!T:T,MATCH(A38,Results!V:V,0)))</f>
        <v>-7</v>
      </c>
      <c r="J38" s="610">
        <f>IF(M38="","",INDEX(Results!AI:AI,MATCH(A38,Results!V:V,0)))</f>
        <v>26.177500000000002</v>
      </c>
      <c r="K38" s="348" t="str">
        <f>IF(INDEX(Table!Q:Q,MATCH(A38,Table!F:F,0))="N","N","Y")</f>
        <v>Y</v>
      </c>
      <c r="L38" s="347">
        <f>INDEX(Picks!AJ:AJ,MATCH(A38,Picks!AG:AG,0))</f>
        <v>40</v>
      </c>
      <c r="M38" s="407" t="s">
        <v>549</v>
      </c>
      <c r="N38" s="624" t="str">
        <f>INDEX(Odds!H:H,MATCH(M38,Odds!G:G,0))</f>
        <v>6/4</v>
      </c>
      <c r="O38" s="625">
        <f>INDEX(Odds!I:I,MATCH(M38,Odds!G:G,0))</f>
        <v>2.5</v>
      </c>
      <c r="P38" s="633">
        <f>INDEX(Odds!J:J,MATCH(M38,Odds!G:G,0))</f>
        <v>0</v>
      </c>
      <c r="Q38" s="627">
        <f t="shared" si="4"/>
        <v>0</v>
      </c>
      <c r="R38" s="504"/>
      <c r="S38" s="501" t="str">
        <f>IF(Match!B38="","",Match!V38)</f>
        <v xml:space="preserve">Austria 3-1 Kosovo </v>
      </c>
      <c r="T38" s="88"/>
      <c r="U38" s="35" t="str">
        <f>IF(Odds!G38="","",Odds!G38)</f>
        <v>Austria</v>
      </c>
      <c r="V38" s="36" t="str">
        <f>INDEX(Odds!H:H,MATCH(U38,Odds!G:G,0))</f>
        <v>1/2</v>
      </c>
      <c r="W38" s="40">
        <f t="shared" si="0"/>
        <v>1</v>
      </c>
      <c r="X38" s="20" t="str">
        <f>INDEX(Match!Q:Q,MATCH(S38,Match!V:V,0))</f>
        <v>Austria</v>
      </c>
      <c r="Y38" s="20">
        <f>INDEX(Match!G:G,MATCH(S38,Match!V:V,0))</f>
        <v>3</v>
      </c>
      <c r="Z38" s="20" t="str">
        <f>INDEX(Match!R:R,MATCH(S38,Match!V:V,0))</f>
        <v>Kosovo</v>
      </c>
      <c r="AA38" s="20">
        <f>INDEX(Match!H:H,MATCH(S38,Match!V:V,0))</f>
        <v>1</v>
      </c>
      <c r="AB38" s="8">
        <f>INDEX(Odds!K:K,MATCH(M38,Odds!G:G,0))</f>
        <v>1</v>
      </c>
      <c r="AE38" s="507" t="str">
        <f>IF(R38="","",INDEX(Odds!H:H,MATCH(R38,Odds!G:G,0)))</f>
        <v/>
      </c>
      <c r="AF38" s="507" t="str">
        <f>IF(INDEX(Table!S:S,MATCH(A38,Table!F:F,0))="N","N","")</f>
        <v/>
      </c>
      <c r="AG38" s="71" t="s">
        <v>268</v>
      </c>
      <c r="AH38" s="72">
        <f>INDEX(Picks!I:I,MATCH(AG38,Picks!A:A,0))</f>
        <v>-5.6363636363636367</v>
      </c>
      <c r="AI38" s="404">
        <f>INDEX(Weekly!I:I,MATCH(AG38,Weekly!E:E,0))</f>
        <v>1</v>
      </c>
      <c r="AJ38" s="69">
        <f>IF(AH38=-10,"",_xlfn.RANK.EQ(AH38,TopScores,0))</f>
        <v>35</v>
      </c>
      <c r="AL38" s="71" t="s">
        <v>269</v>
      </c>
      <c r="AM38" s="72">
        <f>INDEX(Picks!J:J,MATCH(AL38,Picks!A:A,0))</f>
        <v>40.195</v>
      </c>
      <c r="AN38" s="404">
        <f>INDEX(Weekly!I:I,MATCH(AL38,Weekly!E:E,0))</f>
        <v>2</v>
      </c>
      <c r="AO38" s="69">
        <f>IF(AM38="","",_xlfn.RANK.EQ(AM38,TopMaxScores,0))</f>
        <v>12</v>
      </c>
    </row>
    <row r="39" spans="1:41">
      <c r="A39" s="611" t="str">
        <f>A38</f>
        <v>Chris Luck</v>
      </c>
      <c r="B39" s="611"/>
      <c r="C39" s="646"/>
      <c r="D39" s="650"/>
      <c r="E39" s="612" t="str">
        <f t="shared" si="1"/>
        <v>Chesterfield</v>
      </c>
      <c r="F39" s="606">
        <f>IF(M39="","",INDEX(Odds!C:C,MATCH(M39,Odds!G:G,0)))</f>
        <v>7</v>
      </c>
      <c r="G39" s="613">
        <f t="shared" si="2"/>
        <v>2.15</v>
      </c>
      <c r="H39" s="614" t="str">
        <f t="shared" si="3"/>
        <v>x</v>
      </c>
      <c r="I39" s="615"/>
      <c r="J39" s="616"/>
      <c r="K39" s="348">
        <f>IF(J38="",0,1)</f>
        <v>1</v>
      </c>
      <c r="L39" s="348"/>
      <c r="M39" s="407" t="s">
        <v>565</v>
      </c>
      <c r="N39" s="628" t="str">
        <f>INDEX(Odds!H:H,MATCH(M39,Odds!G:G,0))</f>
        <v>23/20</v>
      </c>
      <c r="O39" s="629">
        <f>INDEX(Odds!I:I,MATCH(M39,Odds!G:G,0))</f>
        <v>2.15</v>
      </c>
      <c r="P39" s="626">
        <f>INDEX(Odds!J:J,MATCH(M39,Odds!G:G,0))</f>
        <v>0</v>
      </c>
      <c r="Q39" s="627">
        <f t="shared" si="4"/>
        <v>0</v>
      </c>
      <c r="R39" s="504"/>
      <c r="S39" s="501" t="str">
        <f>IF(Match!B39="","",Match!V39)</f>
        <v xml:space="preserve">Denmark 2-0 Wales </v>
      </c>
      <c r="T39" s="88"/>
      <c r="U39" s="35" t="str">
        <f>IF(Odds!G39="","",Odds!G39)</f>
        <v>Denmark</v>
      </c>
      <c r="V39" s="36" t="str">
        <f>INDEX(Odds!H:H,MATCH(U39,Odds!G:G,0))</f>
        <v>13/20</v>
      </c>
      <c r="W39" s="40">
        <f t="shared" si="0"/>
        <v>1</v>
      </c>
      <c r="X39" s="20" t="str">
        <f>INDEX(Match!Q:Q,MATCH(S39,Match!V:V,0))</f>
        <v>Denmark</v>
      </c>
      <c r="Y39" s="20">
        <f>INDEX(Match!G:G,MATCH(S39,Match!V:V,0))</f>
        <v>2</v>
      </c>
      <c r="Z39" s="20" t="str">
        <f>INDEX(Match!R:R,MATCH(S39,Match!V:V,0))</f>
        <v>Wales</v>
      </c>
      <c r="AA39" s="20">
        <f>INDEX(Match!H:H,MATCH(S39,Match!V:V,0))</f>
        <v>0</v>
      </c>
      <c r="AB39" s="8">
        <f>INDEX(Odds!K:K,MATCH(M39,Odds!G:G,0))</f>
        <v>1</v>
      </c>
      <c r="AE39" s="507" t="str">
        <f>IF(R39="","",INDEX(Odds!H:H,MATCH(R39,Odds!G:G,0)))</f>
        <v/>
      </c>
      <c r="AF39" s="507" t="str">
        <f>IF(INDEX(Table!S:S,MATCH(A39,Table!F:F,0))="N","N","")</f>
        <v/>
      </c>
      <c r="AG39" s="69" t="s">
        <v>287</v>
      </c>
      <c r="AH39" s="72">
        <f>INDEX(Picks!I:I,MATCH(AG39,Picks!A:A,0))</f>
        <v>-5.6363636363636367</v>
      </c>
      <c r="AI39" s="404">
        <f>INDEX(Weekly!I:I,MATCH(AG39,Weekly!E:E,0))</f>
        <v>1</v>
      </c>
      <c r="AJ39" s="69">
        <f>IF(AH39=-10,"",_xlfn.RANK.EQ(AH39,TopScores,0))</f>
        <v>35</v>
      </c>
      <c r="AL39" s="71" t="s">
        <v>346</v>
      </c>
      <c r="AM39" s="72">
        <f>INDEX(Picks!J:J,MATCH(AL39,Picks!A:A,0))</f>
        <v>42.184000000000005</v>
      </c>
      <c r="AN39" s="404">
        <f>INDEX(Weekly!I:I,MATCH(AL39,Weekly!E:E,0))</f>
        <v>2</v>
      </c>
      <c r="AO39" s="69">
        <f>IF(AM39="","",_xlfn.RANK.EQ(AM39,TopMaxScores,0))</f>
        <v>11</v>
      </c>
    </row>
    <row r="40" spans="1:41" ht="13.5" thickBot="1">
      <c r="A40" s="617" t="str">
        <f>A38</f>
        <v>Chris Luck</v>
      </c>
      <c r="B40" s="617"/>
      <c r="C40" s="647"/>
      <c r="D40" s="651"/>
      <c r="E40" s="618" t="str">
        <f t="shared" si="1"/>
        <v>Rotherham</v>
      </c>
      <c r="F40" s="619">
        <f>IF(M40="","",INDEX(Odds!C:C,MATCH(M40,Odds!G:G,0)))</f>
        <v>7</v>
      </c>
      <c r="G40" s="620">
        <f t="shared" si="2"/>
        <v>2.1</v>
      </c>
      <c r="H40" s="614" t="str">
        <f t="shared" si="3"/>
        <v>x</v>
      </c>
      <c r="I40" s="615"/>
      <c r="J40" s="616"/>
      <c r="K40" s="348"/>
      <c r="L40" s="348"/>
      <c r="M40" s="408" t="s">
        <v>566</v>
      </c>
      <c r="N40" s="630" t="str">
        <f>INDEX(Odds!H:H,MATCH(M40,Odds!G:G,0))</f>
        <v>11/10</v>
      </c>
      <c r="O40" s="631">
        <f>INDEX(Odds!I:I,MATCH(M40,Odds!G:G,0))</f>
        <v>2.1</v>
      </c>
      <c r="P40" s="626">
        <f>INDEX(Odds!J:J,MATCH(M40,Odds!G:G,0))</f>
        <v>0</v>
      </c>
      <c r="Q40" s="632">
        <f t="shared" si="4"/>
        <v>0</v>
      </c>
      <c r="R40" s="505"/>
      <c r="S40" s="501" t="str">
        <f>IF(Match!B40="","",Match!V40)</f>
        <v xml:space="preserve">Germany 0-1 Greece </v>
      </c>
      <c r="T40" s="88"/>
      <c r="U40" s="35" t="str">
        <f>IF(Odds!G40="","",Odds!G40)</f>
        <v>Germany</v>
      </c>
      <c r="V40" s="36" t="str">
        <f>INDEX(Odds!H:H,MATCH(U40,Odds!G:G,0))</f>
        <v>4/11</v>
      </c>
      <c r="W40" s="40">
        <f t="shared" si="0"/>
        <v>0</v>
      </c>
      <c r="X40" s="20" t="str">
        <f>INDEX(Match!Q:Q,MATCH(S40,Match!V:V,0))</f>
        <v>Germany</v>
      </c>
      <c r="Y40" s="20">
        <f>INDEX(Match!G:G,MATCH(S40,Match!V:V,0))</f>
        <v>0</v>
      </c>
      <c r="Z40" s="20" t="str">
        <f>INDEX(Match!R:R,MATCH(S40,Match!V:V,0))</f>
        <v>Greece</v>
      </c>
      <c r="AA40" s="20">
        <f>INDEX(Match!H:H,MATCH(S40,Match!V:V,0))</f>
        <v>1</v>
      </c>
      <c r="AB40" s="8">
        <f>INDEX(Odds!K:K,MATCH(M40,Odds!G:G,0))</f>
        <v>1</v>
      </c>
      <c r="AE40" s="508" t="str">
        <f>IF(R40="","",INDEX(Odds!H:H,MATCH(R40,Odds!G:G,0)))</f>
        <v/>
      </c>
      <c r="AF40" s="508" t="str">
        <f>IF(INDEX(Table!S:S,MATCH(A40,Table!F:F,0))="N","N","")</f>
        <v/>
      </c>
      <c r="AG40" s="69" t="s">
        <v>414</v>
      </c>
      <c r="AH40" s="72">
        <f>INDEX(Picks!I:I,MATCH(AG40,Picks!A:A,0))</f>
        <v>-5.6363636363636367</v>
      </c>
      <c r="AI40" s="404">
        <f>INDEX(Weekly!I:I,MATCH(AG40,Weekly!E:E,0))</f>
        <v>1</v>
      </c>
      <c r="AJ40" s="69">
        <f>IF(AH40=-10,"",_xlfn.RANK.EQ(AH40,TopScores,0))</f>
        <v>35</v>
      </c>
      <c r="AL40" s="69" t="s">
        <v>282</v>
      </c>
      <c r="AM40" s="72">
        <f>INDEX(Picks!J:J,MATCH(AL40,Picks!A:A,0))</f>
        <v>44.337999999999994</v>
      </c>
      <c r="AN40" s="404">
        <f>INDEX(Weekly!I:I,MATCH(AL40,Weekly!E:E,0))</f>
        <v>2</v>
      </c>
      <c r="AO40" s="69">
        <f>IF(AM40="","",_xlfn.RANK.EQ(AM40,TopMaxScores,0))</f>
        <v>10</v>
      </c>
    </row>
    <row r="41" spans="1:41" ht="13.9" thickTop="1" thickBot="1">
      <c r="A41" s="604" t="str">
        <f>Results!B41</f>
        <v>Dan Gibbard</v>
      </c>
      <c r="B41" s="604" t="str">
        <f>INDEX(Table!E:E,MATCH(A41,Table!F:F,0))</f>
        <v>C</v>
      </c>
      <c r="C41" s="645">
        <f>INDEX(Table!D:D,MATCH(A41,Table!F:F,0))</f>
        <v>17</v>
      </c>
      <c r="D41" s="649">
        <f>INDEX(Table!I:I,MATCH(A41,Table!F:F,0))</f>
        <v>-27.26653846153846</v>
      </c>
      <c r="E41" s="605" t="str">
        <f t="shared" si="1"/>
        <v>Southend</v>
      </c>
      <c r="F41" s="606">
        <f>IF(M41="","",INDEX(Odds!C:C,MATCH(M41,Odds!G:G,0)))</f>
        <v>1</v>
      </c>
      <c r="G41" s="607">
        <f t="shared" si="2"/>
        <v>1.75</v>
      </c>
      <c r="H41" s="608" t="str">
        <f t="shared" si="3"/>
        <v>x</v>
      </c>
      <c r="I41" s="609">
        <f>IF(M41="",-10,INDEX(Results!T:T,MATCH(A41,Results!V:V,0)))</f>
        <v>-1.4615384615384617</v>
      </c>
      <c r="J41" s="610">
        <f>IF(M41="","",INDEX(Results!AI:AI,MATCH(A41,Results!V:V,0)))</f>
        <v>9.9807692307692299</v>
      </c>
      <c r="K41" s="348" t="str">
        <f>IF(INDEX(Table!Q:Q,MATCH(A41,Table!F:F,0))="N","N","Y")</f>
        <v>Y</v>
      </c>
      <c r="L41" s="347">
        <f>INDEX(Picks!AJ:AJ,MATCH(A41,Picks!AG:AG,0))</f>
        <v>15</v>
      </c>
      <c r="M41" s="407" t="s">
        <v>621</v>
      </c>
      <c r="N41" s="624" t="str">
        <f>INDEX(Odds!H:H,MATCH(M41,Odds!G:G,0))</f>
        <v>3/4</v>
      </c>
      <c r="O41" s="625">
        <f>INDEX(Odds!I:I,MATCH(M41,Odds!G:G,0))</f>
        <v>1.75</v>
      </c>
      <c r="P41" s="633">
        <f>INDEX(Odds!J:J,MATCH(M41,Odds!G:G,0))</f>
        <v>0</v>
      </c>
      <c r="Q41" s="627">
        <f t="shared" si="4"/>
        <v>0</v>
      </c>
      <c r="R41" s="504"/>
      <c r="S41" s="501" t="str">
        <f>IF(Match!B41="","",Match!V41)</f>
        <v xml:space="preserve">Gibraltar 0-0 Andorra </v>
      </c>
      <c r="T41" s="88"/>
      <c r="U41" s="35" t="str">
        <f>IF(Odds!G41="","",Odds!G41)</f>
        <v>Gibraltar</v>
      </c>
      <c r="V41" s="36" t="str">
        <f>INDEX(Odds!H:H,MATCH(U41,Odds!G:G,0))</f>
        <v>5/2</v>
      </c>
      <c r="W41" s="40">
        <f t="shared" si="0"/>
        <v>0</v>
      </c>
      <c r="X41" s="20" t="str">
        <f>INDEX(Match!Q:Q,MATCH(S41,Match!V:V,0))</f>
        <v>Gibraltar</v>
      </c>
      <c r="Y41" s="20">
        <f>INDEX(Match!G:G,MATCH(S41,Match!V:V,0))</f>
        <v>0</v>
      </c>
      <c r="Z41" s="20" t="str">
        <f>INDEX(Match!R:R,MATCH(S41,Match!V:V,0))</f>
        <v>Andorra</v>
      </c>
      <c r="AA41" s="20">
        <f>INDEX(Match!H:H,MATCH(S41,Match!V:V,0))</f>
        <v>0</v>
      </c>
      <c r="AB41" s="8">
        <f>INDEX(Odds!K:K,MATCH(M41,Odds!G:G,0))</f>
        <v>1</v>
      </c>
      <c r="AE41" s="507" t="str">
        <f>IF(R41="","",INDEX(Odds!H:H,MATCH(R41,Odds!G:G,0)))</f>
        <v/>
      </c>
      <c r="AF41" s="507" t="str">
        <f>IF(INDEX(Table!S:S,MATCH(A41,Table!F:F,0))="N","N","")</f>
        <v/>
      </c>
      <c r="AG41" s="69" t="s">
        <v>541</v>
      </c>
      <c r="AH41" s="72">
        <f>INDEX(Picks!I:I,MATCH(AG41,Picks!A:A,0))</f>
        <v>-7</v>
      </c>
      <c r="AI41" s="404">
        <f>INDEX(Weekly!I:I,MATCH(AG41,Weekly!E:E,0))</f>
        <v>0</v>
      </c>
      <c r="AJ41" s="69">
        <f>IF(AH41=-10,"",_xlfn.RANK.EQ(AH41,TopScores,0))</f>
        <v>40</v>
      </c>
      <c r="AL41" s="71" t="s">
        <v>517</v>
      </c>
      <c r="AM41" s="72">
        <f>INDEX(Picks!J:J,MATCH(AL41,Picks!A:A,0))</f>
        <v>44.725000000000009</v>
      </c>
      <c r="AN41" s="404">
        <f>INDEX(Weekly!I:I,MATCH(AL41,Weekly!E:E,0))</f>
        <v>1</v>
      </c>
      <c r="AO41" s="69">
        <f>IF(AM41="","",_xlfn.RANK.EQ(AM41,TopMaxScores,0))</f>
        <v>9</v>
      </c>
    </row>
    <row r="42" spans="1:41">
      <c r="A42" s="611" t="str">
        <f>A41</f>
        <v>Dan Gibbard</v>
      </c>
      <c r="B42" s="611"/>
      <c r="C42" s="646"/>
      <c r="D42" s="650"/>
      <c r="E42" s="612" t="str">
        <f t="shared" si="1"/>
        <v>Netherlands</v>
      </c>
      <c r="F42" s="606">
        <f>IF(M42="","",INDEX(Odds!C:C,MATCH(M42,Odds!G:G,0)))</f>
        <v>1</v>
      </c>
      <c r="G42" s="613">
        <f t="shared" si="2"/>
        <v>1.6153846153846154</v>
      </c>
      <c r="H42" s="614" t="str">
        <f t="shared" si="3"/>
        <v>√</v>
      </c>
      <c r="I42" s="615"/>
      <c r="J42" s="616"/>
      <c r="K42" s="348">
        <f>IF(J41="",0,1)</f>
        <v>1</v>
      </c>
      <c r="L42" s="348"/>
      <c r="M42" s="407" t="s">
        <v>638</v>
      </c>
      <c r="N42" s="628" t="str">
        <f>INDEX(Odds!H:H,MATCH(M42,Odds!G:G,0))</f>
        <v>8/13</v>
      </c>
      <c r="O42" s="629">
        <f>INDEX(Odds!I:I,MATCH(M42,Odds!G:G,0))</f>
        <v>1.6153846153846154</v>
      </c>
      <c r="P42" s="626">
        <f>INDEX(Odds!J:J,MATCH(M42,Odds!G:G,0))</f>
        <v>1</v>
      </c>
      <c r="Q42" s="627">
        <f t="shared" si="4"/>
        <v>1.6153846153846154</v>
      </c>
      <c r="R42" s="504"/>
      <c r="S42" s="501" t="str">
        <f>IF(Match!B42="","",Match!V42)</f>
        <v xml:space="preserve">Israel 0-3 Ireland </v>
      </c>
      <c r="T42" s="88"/>
      <c r="U42" s="35" t="str">
        <f>IF(Odds!G42="","",Odds!G42)</f>
        <v>Israel</v>
      </c>
      <c r="V42" s="36" t="str">
        <f>INDEX(Odds!H:H,MATCH(U42,Odds!G:G,0))</f>
        <v>6/4</v>
      </c>
      <c r="W42" s="40">
        <f t="shared" si="0"/>
        <v>0</v>
      </c>
      <c r="X42" s="20" t="str">
        <f>INDEX(Match!Q:Q,MATCH(S42,Match!V:V,0))</f>
        <v>Israel</v>
      </c>
      <c r="Y42" s="20">
        <f>INDEX(Match!G:G,MATCH(S42,Match!V:V,0))</f>
        <v>0</v>
      </c>
      <c r="Z42" s="20" t="str">
        <f>INDEX(Match!R:R,MATCH(S42,Match!V:V,0))</f>
        <v>Ireland</v>
      </c>
      <c r="AA42" s="20">
        <f>INDEX(Match!H:H,MATCH(S42,Match!V:V,0))</f>
        <v>3</v>
      </c>
      <c r="AB42" s="8">
        <f>INDEX(Odds!K:K,MATCH(M42,Odds!G:G,0))</f>
        <v>1</v>
      </c>
      <c r="AE42" s="507" t="str">
        <f>IF(R42="","",INDEX(Odds!H:H,MATCH(R42,Odds!G:G,0)))</f>
        <v/>
      </c>
      <c r="AF42" s="507" t="str">
        <f>IF(INDEX(Table!S:S,MATCH(A42,Table!F:F,0))="N","N","")</f>
        <v/>
      </c>
      <c r="AG42" s="69" t="s">
        <v>281</v>
      </c>
      <c r="AH42" s="72">
        <f>INDEX(Picks!I:I,MATCH(AG42,Picks!A:A,0))</f>
        <v>-7</v>
      </c>
      <c r="AI42" s="404">
        <f>INDEX(Weekly!I:I,MATCH(AG42,Weekly!E:E,0))</f>
        <v>0</v>
      </c>
      <c r="AJ42" s="69">
        <f>IF(AH42=-10,"",_xlfn.RANK.EQ(AH42,TopScores,0))</f>
        <v>40</v>
      </c>
      <c r="AL42" s="71" t="s">
        <v>541</v>
      </c>
      <c r="AM42" s="72">
        <f>INDEX(Picks!J:J,MATCH(AL42,Picks!A:A,0))</f>
        <v>50.719000000000001</v>
      </c>
      <c r="AN42" s="404">
        <f>INDEX(Weekly!I:I,MATCH(AL42,Weekly!E:E,0))</f>
        <v>0</v>
      </c>
      <c r="AO42" s="69">
        <f>IF(AM42="","",_xlfn.RANK.EQ(AM42,TopMaxScores,0))</f>
        <v>8</v>
      </c>
    </row>
    <row r="43" spans="1:41" ht="13.5" thickBot="1">
      <c r="A43" s="617" t="str">
        <f>A41</f>
        <v>Dan Gibbard</v>
      </c>
      <c r="B43" s="617"/>
      <c r="C43" s="647"/>
      <c r="D43" s="651"/>
      <c r="E43" s="618" t="str">
        <f t="shared" si="1"/>
        <v>Austria</v>
      </c>
      <c r="F43" s="619">
        <f>IF(M43="","",INDEX(Odds!C:C,MATCH(M43,Odds!G:G,0)))</f>
        <v>1</v>
      </c>
      <c r="G43" s="620">
        <f t="shared" si="2"/>
        <v>1.5</v>
      </c>
      <c r="H43" s="614" t="str">
        <f t="shared" si="3"/>
        <v>√</v>
      </c>
      <c r="I43" s="615"/>
      <c r="J43" s="616"/>
      <c r="K43" s="348"/>
      <c r="L43" s="348"/>
      <c r="M43" s="408" t="s">
        <v>623</v>
      </c>
      <c r="N43" s="630" t="str">
        <f>INDEX(Odds!H:H,MATCH(M43,Odds!G:G,0))</f>
        <v>1/2</v>
      </c>
      <c r="O43" s="631">
        <f>INDEX(Odds!I:I,MATCH(M43,Odds!G:G,0))</f>
        <v>1.5</v>
      </c>
      <c r="P43" s="626">
        <f>INDEX(Odds!J:J,MATCH(M43,Odds!G:G,0))</f>
        <v>1</v>
      </c>
      <c r="Q43" s="632">
        <f t="shared" si="4"/>
        <v>1.5</v>
      </c>
      <c r="R43" s="505"/>
      <c r="S43" s="501" t="str">
        <f>IF(Match!B43="","",Match!V43)</f>
        <v xml:space="preserve">Lithuania 1-1 Azerbaijan </v>
      </c>
      <c r="T43" s="88"/>
      <c r="U43" s="35" t="str">
        <f>IF(Odds!G43="","",Odds!G43)</f>
        <v>Lithuania</v>
      </c>
      <c r="V43" s="36" t="str">
        <f>INDEX(Odds!H:H,MATCH(U43,Odds!G:G,0))</f>
        <v>6/4</v>
      </c>
      <c r="W43" s="40">
        <f t="shared" si="0"/>
        <v>0</v>
      </c>
      <c r="X43" s="20" t="str">
        <f>INDEX(Match!Q:Q,MATCH(S43,Match!V:V,0))</f>
        <v>Lithuania</v>
      </c>
      <c r="Y43" s="20">
        <f>INDEX(Match!G:G,MATCH(S43,Match!V:V,0))</f>
        <v>1</v>
      </c>
      <c r="Z43" s="20" t="str">
        <f>INDEX(Match!R:R,MATCH(S43,Match!V:V,0))</f>
        <v>Azerbaijan</v>
      </c>
      <c r="AA43" s="20">
        <f>INDEX(Match!H:H,MATCH(S43,Match!V:V,0))</f>
        <v>1</v>
      </c>
      <c r="AB43" s="8">
        <f>INDEX(Odds!K:K,MATCH(M43,Odds!G:G,0))</f>
        <v>1</v>
      </c>
      <c r="AE43" s="508" t="str">
        <f>IF(R43="","",INDEX(Odds!H:H,MATCH(R43,Odds!G:G,0)))</f>
        <v/>
      </c>
      <c r="AF43" s="508" t="str">
        <f>IF(INDEX(Table!S:S,MATCH(A43,Table!F:F,0))="N","N","")</f>
        <v/>
      </c>
      <c r="AG43" s="69" t="s">
        <v>518</v>
      </c>
      <c r="AH43" s="72">
        <f>INDEX(Picks!I:I,MATCH(AG43,Picks!A:A,0))</f>
        <v>-7</v>
      </c>
      <c r="AI43" s="404">
        <f>INDEX(Weekly!I:I,MATCH(AG43,Weekly!E:E,0))</f>
        <v>0</v>
      </c>
      <c r="AJ43" s="69">
        <f>IF(AH43=-10,"",_xlfn.RANK.EQ(AH43,TopScores,0))</f>
        <v>40</v>
      </c>
      <c r="AL43" s="71" t="s">
        <v>348</v>
      </c>
      <c r="AM43" s="72">
        <f>INDEX(Picks!J:J,MATCH(AL43,Picks!A:A,0))</f>
        <v>53.6</v>
      </c>
      <c r="AN43" s="404">
        <f>INDEX(Weekly!I:I,MATCH(AL43,Weekly!E:E,0))</f>
        <v>2</v>
      </c>
      <c r="AO43" s="69">
        <f>IF(AM43="","",_xlfn.RANK.EQ(AM43,TopMaxScores,0))</f>
        <v>7</v>
      </c>
    </row>
    <row r="44" spans="1:41" ht="13.9" thickTop="1" thickBot="1">
      <c r="A44" s="604" t="str">
        <f>Results!B44</f>
        <v>Dave Bell</v>
      </c>
      <c r="B44" s="604" t="str">
        <f>INDEX(Table!E:E,MATCH(A44,Table!F:F,0))</f>
        <v>B</v>
      </c>
      <c r="C44" s="645">
        <f>INDEX(Table!D:D,MATCH(A44,Table!F:F,0))</f>
        <v>11</v>
      </c>
      <c r="D44" s="649">
        <f>INDEX(Table!I:I,MATCH(A44,Table!F:F,0))</f>
        <v>-17.649999999999999</v>
      </c>
      <c r="E44" s="605" t="str">
        <f t="shared" si="1"/>
        <v>Belgium</v>
      </c>
      <c r="F44" s="606">
        <f>IF(M44="","",INDEX(Odds!C:C,MATCH(M44,Odds!G:G,0)))</f>
        <v>6</v>
      </c>
      <c r="G44" s="607">
        <f t="shared" si="2"/>
        <v>3.1</v>
      </c>
      <c r="H44" s="608" t="str">
        <f t="shared" si="3"/>
        <v>√</v>
      </c>
      <c r="I44" s="609">
        <f>IF(M44="",-10,INDEX(Results!T:T,MATCH(A44,Results!V:V,0)))</f>
        <v>6.35</v>
      </c>
      <c r="J44" s="610">
        <f>IF(M44="","",INDEX(Results!AI:AI,MATCH(A44,Results!V:V,0)))</f>
        <v>78.099999999999994</v>
      </c>
      <c r="K44" s="348" t="str">
        <f>IF(INDEX(Table!Q:Q,MATCH(A44,Table!F:F,0))="N","N","Y")</f>
        <v>Y</v>
      </c>
      <c r="L44" s="347">
        <f>INDEX(Picks!AJ:AJ,MATCH(A44,Picks!AG:AG,0))</f>
        <v>7</v>
      </c>
      <c r="M44" s="407" t="s">
        <v>583</v>
      </c>
      <c r="N44" s="624" t="str">
        <f>INDEX(Odds!H:H,MATCH(M44,Odds!G:G,0))</f>
        <v>21/10</v>
      </c>
      <c r="O44" s="625">
        <f>INDEX(Odds!I:I,MATCH(M44,Odds!G:G,0))</f>
        <v>3.1</v>
      </c>
      <c r="P44" s="633">
        <f>INDEX(Odds!J:J,MATCH(M44,Odds!G:G,0))</f>
        <v>1</v>
      </c>
      <c r="Q44" s="627">
        <f t="shared" si="4"/>
        <v>3.1</v>
      </c>
      <c r="R44" s="504"/>
      <c r="S44" s="501" t="str">
        <f>IF(Match!B44="","",Match!V44)</f>
        <v xml:space="preserve">Norway 1-2 Portugal </v>
      </c>
      <c r="T44" s="88"/>
      <c r="U44" s="35" t="str">
        <f>IF(Odds!G44="","",Odds!G44)</f>
        <v>Norway</v>
      </c>
      <c r="V44" s="36" t="str">
        <f>INDEX(Odds!H:H,MATCH(U44,Odds!G:G,0))</f>
        <v>13/8</v>
      </c>
      <c r="W44" s="40">
        <f t="shared" si="0"/>
        <v>0</v>
      </c>
      <c r="X44" s="20" t="str">
        <f>INDEX(Match!Q:Q,MATCH(S44,Match!V:V,0))</f>
        <v>Norway</v>
      </c>
      <c r="Y44" s="20">
        <f>INDEX(Match!G:G,MATCH(S44,Match!V:V,0))</f>
        <v>1</v>
      </c>
      <c r="Z44" s="20" t="str">
        <f>INDEX(Match!R:R,MATCH(S44,Match!V:V,0))</f>
        <v>Portugal</v>
      </c>
      <c r="AA44" s="20">
        <f>INDEX(Match!H:H,MATCH(S44,Match!V:V,0))</f>
        <v>2</v>
      </c>
      <c r="AB44" s="8">
        <f>INDEX(Odds!K:K,MATCH(M44,Odds!G:G,0))</f>
        <v>1</v>
      </c>
      <c r="AE44" s="507" t="str">
        <f>IF(R44="","",INDEX(Odds!H:H,MATCH(R44,Odds!G:G,0)))</f>
        <v/>
      </c>
      <c r="AF44" s="507" t="str">
        <f>IF(INDEX(Table!S:S,MATCH(A44,Table!F:F,0))="N","N","")</f>
        <v/>
      </c>
      <c r="AG44" s="69" t="s">
        <v>266</v>
      </c>
      <c r="AH44" s="72">
        <f>INDEX(Picks!I:I,MATCH(AG44,Picks!A:A,0))</f>
        <v>-7</v>
      </c>
      <c r="AI44" s="404">
        <f>INDEX(Weekly!I:I,MATCH(AG44,Weekly!E:E,0))</f>
        <v>0</v>
      </c>
      <c r="AJ44" s="69">
        <f>IF(AH44=-10,"",_xlfn.RANK.EQ(AH44,TopScores,0))</f>
        <v>40</v>
      </c>
      <c r="AL44" s="69" t="s">
        <v>290</v>
      </c>
      <c r="AM44" s="72">
        <f>INDEX(Picks!J:J,MATCH(AL44,Picks!A:A,0))</f>
        <v>58.74799999999999</v>
      </c>
      <c r="AN44" s="404">
        <f>INDEX(Weekly!I:I,MATCH(AL44,Weekly!E:E,0))</f>
        <v>0</v>
      </c>
      <c r="AO44" s="69">
        <f>IF(AM44="","",_xlfn.RANK.EQ(AM44,TopMaxScores,0))</f>
        <v>6</v>
      </c>
    </row>
    <row r="45" spans="1:41">
      <c r="A45" s="611" t="str">
        <f>A44</f>
        <v>Dave Bell</v>
      </c>
      <c r="B45" s="611"/>
      <c r="C45" s="646"/>
      <c r="D45" s="650"/>
      <c r="E45" s="612" t="str">
        <f t="shared" si="1"/>
        <v>Portugal</v>
      </c>
      <c r="F45" s="606">
        <f>IF(M45="","",INDEX(Odds!C:C,MATCH(M45,Odds!G:G,0)))</f>
        <v>1</v>
      </c>
      <c r="G45" s="613">
        <f t="shared" si="2"/>
        <v>2.5</v>
      </c>
      <c r="H45" s="614" t="str">
        <f t="shared" si="3"/>
        <v>√</v>
      </c>
      <c r="I45" s="615"/>
      <c r="J45" s="616"/>
      <c r="K45" s="348">
        <f>IF(J44="",0,1)</f>
        <v>1</v>
      </c>
      <c r="L45" s="348"/>
      <c r="M45" s="407" t="s">
        <v>636</v>
      </c>
      <c r="N45" s="628" t="str">
        <f>INDEX(Odds!H:H,MATCH(M45,Odds!G:G,0))</f>
        <v>6/4</v>
      </c>
      <c r="O45" s="629">
        <f>INDEX(Odds!I:I,MATCH(M45,Odds!G:G,0))</f>
        <v>2.5</v>
      </c>
      <c r="P45" s="626">
        <f>INDEX(Odds!J:J,MATCH(M45,Odds!G:G,0))</f>
        <v>1</v>
      </c>
      <c r="Q45" s="627">
        <f t="shared" si="4"/>
        <v>2.5</v>
      </c>
      <c r="R45" s="504"/>
      <c r="S45" s="501" t="str">
        <f>IF(Match!B45="","",Match!V45)</f>
        <v xml:space="preserve">Serbia 1-2 Netherlands </v>
      </c>
      <c r="T45" s="88"/>
      <c r="U45" s="35" t="str">
        <f>IF(Odds!G45="","",Odds!G45)</f>
        <v>Serbia</v>
      </c>
      <c r="V45" s="36" t="str">
        <f>INDEX(Odds!H:H,MATCH(U45,Odds!G:G,0))</f>
        <v>4/1</v>
      </c>
      <c r="W45" s="40">
        <f t="shared" si="0"/>
        <v>0</v>
      </c>
      <c r="X45" s="20" t="str">
        <f>INDEX(Match!Q:Q,MATCH(S45,Match!V:V,0))</f>
        <v>Serbia</v>
      </c>
      <c r="Y45" s="20">
        <f>INDEX(Match!G:G,MATCH(S45,Match!V:V,0))</f>
        <v>1</v>
      </c>
      <c r="Z45" s="20" t="str">
        <f>INDEX(Match!R:R,MATCH(S45,Match!V:V,0))</f>
        <v>Netherlands</v>
      </c>
      <c r="AA45" s="20">
        <f>INDEX(Match!H:H,MATCH(S45,Match!V:V,0))</f>
        <v>2</v>
      </c>
      <c r="AB45" s="8">
        <f>INDEX(Odds!K:K,MATCH(M45,Odds!G:G,0))</f>
        <v>1</v>
      </c>
      <c r="AE45" s="507" t="str">
        <f>IF(R45="","",INDEX(Odds!H:H,MATCH(R45,Odds!G:G,0)))</f>
        <v/>
      </c>
      <c r="AF45" s="507" t="str">
        <f>IF(INDEX(Table!S:S,MATCH(A45,Table!F:F,0))="N","N","")</f>
        <v/>
      </c>
      <c r="AG45" s="69" t="s">
        <v>276</v>
      </c>
      <c r="AH45" s="72">
        <f>INDEX(Picks!I:I,MATCH(AG45,Picks!A:A,0))</f>
        <v>-7</v>
      </c>
      <c r="AI45" s="404">
        <f>INDEX(Weekly!I:I,MATCH(AG45,Weekly!E:E,0))</f>
        <v>0</v>
      </c>
      <c r="AJ45" s="69">
        <f>IF(AH45=-10,"",_xlfn.RANK.EQ(AH45,TopScores,0))</f>
        <v>40</v>
      </c>
      <c r="AL45" s="71" t="s">
        <v>479</v>
      </c>
      <c r="AM45" s="72">
        <f>INDEX(Picks!J:J,MATCH(AL45,Picks!A:A,0))</f>
        <v>64.283000000000001</v>
      </c>
      <c r="AN45" s="404">
        <f>INDEX(Weekly!I:I,MATCH(AL45,Weekly!E:E,0))</f>
        <v>1</v>
      </c>
      <c r="AO45" s="69">
        <f>IF(AM45="","",_xlfn.RANK.EQ(AM45,TopMaxScores,0))</f>
        <v>5</v>
      </c>
    </row>
    <row r="46" spans="1:41" ht="13.5" thickBot="1">
      <c r="A46" s="617" t="str">
        <f>A44</f>
        <v>Dave Bell</v>
      </c>
      <c r="B46" s="617"/>
      <c r="C46" s="647"/>
      <c r="D46" s="651"/>
      <c r="E46" s="618" t="str">
        <f t="shared" si="1"/>
        <v>Serbia</v>
      </c>
      <c r="F46" s="619">
        <f>IF(M46="","",INDEX(Odds!C:C,MATCH(M46,Odds!G:G,0)))</f>
        <v>1</v>
      </c>
      <c r="G46" s="620">
        <f t="shared" si="2"/>
        <v>5</v>
      </c>
      <c r="H46" s="614" t="str">
        <f t="shared" si="3"/>
        <v>x</v>
      </c>
      <c r="I46" s="615"/>
      <c r="J46" s="616"/>
      <c r="K46" s="348"/>
      <c r="L46" s="348"/>
      <c r="M46" s="408" t="s">
        <v>637</v>
      </c>
      <c r="N46" s="630" t="str">
        <f>INDEX(Odds!H:H,MATCH(M46,Odds!G:G,0))</f>
        <v>4/1</v>
      </c>
      <c r="O46" s="631">
        <f>INDEX(Odds!I:I,MATCH(M46,Odds!G:G,0))</f>
        <v>5</v>
      </c>
      <c r="P46" s="626">
        <f>INDEX(Odds!J:J,MATCH(M46,Odds!G:G,0))</f>
        <v>0</v>
      </c>
      <c r="Q46" s="632">
        <f t="shared" si="4"/>
        <v>0</v>
      </c>
      <c r="R46" s="505"/>
      <c r="S46" s="501" t="str">
        <f>IF(Match!B46="","",Match!V46)</f>
        <v/>
      </c>
      <c r="T46" s="88"/>
      <c r="U46" s="35" t="str">
        <f>IF(Odds!G46="","",Odds!G46)</f>
        <v/>
      </c>
      <c r="V46" s="36" t="str">
        <f>INDEX(Odds!H:H,MATCH(U46,Odds!G:G,0))</f>
        <v/>
      </c>
      <c r="W46" s="40" t="e">
        <f t="shared" si="0"/>
        <v>#N/A</v>
      </c>
      <c r="X46" s="20" t="e">
        <f>INDEX(Match!Q:Q,MATCH(S46,Match!V:V,0))</f>
        <v>#N/A</v>
      </c>
      <c r="Y46" s="20" t="e">
        <f>INDEX(Match!G:G,MATCH(S46,Match!V:V,0))</f>
        <v>#N/A</v>
      </c>
      <c r="Z46" s="20" t="e">
        <f>INDEX(Match!R:R,MATCH(S46,Match!V:V,0))</f>
        <v>#N/A</v>
      </c>
      <c r="AA46" s="20" t="e">
        <f>INDEX(Match!H:H,MATCH(S46,Match!V:V,0))</f>
        <v>#N/A</v>
      </c>
      <c r="AB46" s="8">
        <f>INDEX(Odds!K:K,MATCH(M46,Odds!G:G,0))</f>
        <v>1</v>
      </c>
      <c r="AE46" s="508" t="str">
        <f>IF(R46="","",INDEX(Odds!H:H,MATCH(R46,Odds!G:G,0)))</f>
        <v/>
      </c>
      <c r="AF46" s="508" t="str">
        <f>IF(INDEX(Table!S:S,MATCH(A46,Table!F:F,0))="N","N","")</f>
        <v/>
      </c>
      <c r="AG46" s="69" t="s">
        <v>292</v>
      </c>
      <c r="AH46" s="72">
        <f>INDEX(Picks!I:I,MATCH(AG46,Picks!A:A,0))</f>
        <v>-7</v>
      </c>
      <c r="AI46" s="404">
        <f>INDEX(Weekly!I:I,MATCH(AG46,Weekly!E:E,0))</f>
        <v>0</v>
      </c>
      <c r="AJ46" s="69">
        <f>IF(AH46=-10,"",_xlfn.RANK.EQ(AH46,TopScores,0))</f>
        <v>40</v>
      </c>
      <c r="AL46" s="71" t="s">
        <v>281</v>
      </c>
      <c r="AM46" s="72">
        <f>INDEX(Picks!J:J,MATCH(AL46,Picks!A:A,0))</f>
        <v>65.5</v>
      </c>
      <c r="AN46" s="404">
        <f>INDEX(Weekly!I:I,MATCH(AL46,Weekly!E:E,0))</f>
        <v>0</v>
      </c>
      <c r="AO46" s="69">
        <f>IF(AM46="","",_xlfn.RANK.EQ(AM46,TopMaxScores,0))</f>
        <v>4</v>
      </c>
    </row>
    <row r="47" spans="1:41" ht="13.9" thickTop="1" thickBot="1">
      <c r="A47" s="604" t="str">
        <f>Results!B47</f>
        <v>David Dunn</v>
      </c>
      <c r="B47" s="604" t="str">
        <f>INDEX(Table!E:E,MATCH(A47,Table!F:F,0))</f>
        <v>C</v>
      </c>
      <c r="C47" s="645">
        <f>INDEX(Table!D:D,MATCH(A47,Table!F:F,0))</f>
        <v>11</v>
      </c>
      <c r="D47" s="649">
        <f>INDEX(Table!I:I,MATCH(A47,Table!F:F,0))</f>
        <v>-17.364545454545457</v>
      </c>
      <c r="E47" s="605" t="str">
        <f t="shared" si="1"/>
        <v>Croatia</v>
      </c>
      <c r="F47" s="606">
        <f>IF(M47="","",INDEX(Odds!C:C,MATCH(M47,Odds!G:G,0)))</f>
        <v>7</v>
      </c>
      <c r="G47" s="607">
        <f t="shared" si="2"/>
        <v>2.15</v>
      </c>
      <c r="H47" s="608" t="str">
        <f t="shared" si="3"/>
        <v>√</v>
      </c>
      <c r="I47" s="609">
        <f>IF(M47="",-10,INDEX(Results!T:T,MATCH(A47,Results!V:V,0)))</f>
        <v>-0.55454545454545467</v>
      </c>
      <c r="J47" s="610">
        <f>IF(M47="","",INDEX(Results!AI:AI,MATCH(A47,Results!V:V,0)))</f>
        <v>20.292727272727269</v>
      </c>
      <c r="K47" s="348" t="str">
        <f>IF(INDEX(Table!Q:Q,MATCH(A47,Table!F:F,0))="N","N","Y")</f>
        <v>Y</v>
      </c>
      <c r="L47" s="347">
        <f>INDEX(Picks!AJ:AJ,MATCH(A47,Picks!AG:AG,0))</f>
        <v>12</v>
      </c>
      <c r="M47" s="407" t="s">
        <v>599</v>
      </c>
      <c r="N47" s="624" t="str">
        <f>INDEX(Odds!H:H,MATCH(M47,Odds!G:G,0))</f>
        <v>23/20</v>
      </c>
      <c r="O47" s="625">
        <f>INDEX(Odds!I:I,MATCH(M47,Odds!G:G,0))</f>
        <v>2.15</v>
      </c>
      <c r="P47" s="633">
        <f>INDEX(Odds!J:J,MATCH(M47,Odds!G:G,0))</f>
        <v>1</v>
      </c>
      <c r="Q47" s="627">
        <f t="shared" si="4"/>
        <v>2.15</v>
      </c>
      <c r="R47" s="504"/>
      <c r="S47" s="502" t="str">
        <f>IF(Match!B47="","",Match!V47)</f>
        <v/>
      </c>
      <c r="T47" s="88"/>
      <c r="U47" s="41" t="str">
        <f>IF(Odds!G47="","",Odds!G47)</f>
        <v/>
      </c>
      <c r="V47" s="42" t="str">
        <f>INDEX(Odds!H:H,MATCH(U47,Odds!G:G,0))</f>
        <v/>
      </c>
      <c r="W47" s="43" t="e">
        <f>IF(Y47&gt;AA47,1,0)</f>
        <v>#N/A</v>
      </c>
      <c r="X47" s="20" t="e">
        <f>INDEX(Match!Q:Q,MATCH(S47,Match!V:V,0))</f>
        <v>#N/A</v>
      </c>
      <c r="Y47" s="20" t="e">
        <f>INDEX(Match!G:G,MATCH(S47,Match!V:V,0))</f>
        <v>#N/A</v>
      </c>
      <c r="Z47" s="20" t="e">
        <f>INDEX(Match!R:R,MATCH(S47,Match!V:V,0))</f>
        <v>#N/A</v>
      </c>
      <c r="AA47" s="20" t="e">
        <f>INDEX(Match!H:H,MATCH(S47,Match!V:V,0))</f>
        <v>#N/A</v>
      </c>
      <c r="AB47" s="8">
        <f>INDEX(Odds!K:K,MATCH(M47,Odds!G:G,0))</f>
        <v>1</v>
      </c>
      <c r="AE47" s="507" t="str">
        <f>IF(R47="","",INDEX(Odds!H:H,MATCH(R47,Odds!G:G,0)))</f>
        <v/>
      </c>
      <c r="AF47" s="507" t="str">
        <f>IF(INDEX(Table!S:S,MATCH(A47,Table!F:F,0))="N","N","")</f>
        <v/>
      </c>
      <c r="AG47" s="69" t="s">
        <v>290</v>
      </c>
      <c r="AH47" s="72">
        <f>INDEX(Picks!I:I,MATCH(AG47,Picks!A:A,0))</f>
        <v>-7</v>
      </c>
      <c r="AI47" s="404">
        <f>INDEX(Weekly!I:I,MATCH(AG47,Weekly!E:E,0))</f>
        <v>0</v>
      </c>
      <c r="AJ47" s="69">
        <f>IF(AH47=-10,"",_xlfn.RANK.EQ(AH47,TopScores,0))</f>
        <v>40</v>
      </c>
      <c r="AL47" s="69" t="s">
        <v>266</v>
      </c>
      <c r="AM47" s="72">
        <f>INDEX(Picks!J:J,MATCH(AL47,Picks!A:A,0))</f>
        <v>69.571999999999989</v>
      </c>
      <c r="AN47" s="404">
        <f>INDEX(Weekly!I:I,MATCH(AL47,Weekly!E:E,0))</f>
        <v>0</v>
      </c>
      <c r="AO47" s="69">
        <f>IF(AM47="","",_xlfn.RANK.EQ(AM47,TopMaxScores,0))</f>
        <v>3</v>
      </c>
    </row>
    <row r="48" spans="1:41">
      <c r="A48" s="611" t="str">
        <f>A47</f>
        <v>David Dunn</v>
      </c>
      <c r="B48" s="611"/>
      <c r="C48" s="646"/>
      <c r="D48" s="650"/>
      <c r="E48" s="612" t="str">
        <f t="shared" si="1"/>
        <v>England</v>
      </c>
      <c r="F48" s="606">
        <f>IF(M48="","",INDEX(Odds!C:C,MATCH(M48,Odds!G:G,0)))</f>
        <v>7</v>
      </c>
      <c r="G48" s="613">
        <f t="shared" si="2"/>
        <v>2.8</v>
      </c>
      <c r="H48" s="614" t="str">
        <f t="shared" si="3"/>
        <v>x</v>
      </c>
      <c r="I48" s="615"/>
      <c r="J48" s="616"/>
      <c r="K48" s="348">
        <f>IF(J47="",0,1)</f>
        <v>1</v>
      </c>
      <c r="L48" s="348"/>
      <c r="M48" s="407" t="s">
        <v>600</v>
      </c>
      <c r="N48" s="628" t="str">
        <f>INDEX(Odds!H:H,MATCH(M48,Odds!G:G,0))</f>
        <v>9/5</v>
      </c>
      <c r="O48" s="629">
        <f>INDEX(Odds!I:I,MATCH(M48,Odds!G:G,0))</f>
        <v>2.8</v>
      </c>
      <c r="P48" s="626">
        <f>INDEX(Odds!J:J,MATCH(M48,Odds!G:G,0))</f>
        <v>0</v>
      </c>
      <c r="Q48" s="627">
        <f t="shared" si="4"/>
        <v>0</v>
      </c>
      <c r="R48" s="504"/>
      <c r="S48" s="58"/>
      <c r="U48" s="35" t="str">
        <f>IF(Odds!G48="","",Odds!G48)</f>
        <v>Armenia draw</v>
      </c>
      <c r="V48" s="36" t="str">
        <f>INDEX(Odds!H:H,MATCH(U48,Odds!G:G,0))</f>
        <v>13/5</v>
      </c>
      <c r="W48" s="40">
        <f t="shared" ref="W48" si="5">IF(Y2=AA2,1,0)</f>
        <v>0</v>
      </c>
      <c r="AB48" s="8">
        <f>INDEX(Odds!K:K,MATCH(M48,Odds!G:G,0))</f>
        <v>1</v>
      </c>
      <c r="AE48" s="507" t="str">
        <f>IF(R48="","",INDEX(Odds!H:H,MATCH(R48,Odds!G:G,0)))</f>
        <v/>
      </c>
      <c r="AF48" s="507" t="str">
        <f>IF(INDEX(Table!S:S,MATCH(A48,Table!F:F,0))="N","N","")</f>
        <v/>
      </c>
      <c r="AG48" s="69" t="s">
        <v>296</v>
      </c>
      <c r="AH48" s="72">
        <f>INDEX(Picks!I:I,MATCH(AG48,Picks!A:A,0))</f>
        <v>-7</v>
      </c>
      <c r="AI48" s="404">
        <f>INDEX(Weekly!I:I,MATCH(AG48,Weekly!E:E,0))</f>
        <v>0</v>
      </c>
      <c r="AJ48" s="69">
        <f>IF(AH48=-10,"",_xlfn.RANK.EQ(AH48,TopScores,0))</f>
        <v>40</v>
      </c>
      <c r="AL48" s="71" t="s">
        <v>298</v>
      </c>
      <c r="AM48" s="72">
        <f>INDEX(Picks!J:J,MATCH(AL48,Picks!A:A,0))</f>
        <v>72.960000000000008</v>
      </c>
      <c r="AN48" s="404">
        <f>INDEX(Weekly!I:I,MATCH(AL48,Weekly!E:E,0))</f>
        <v>2</v>
      </c>
      <c r="AO48" s="69">
        <f>IF(AM48="","",_xlfn.RANK.EQ(AM48,TopMaxScores,0))</f>
        <v>2</v>
      </c>
    </row>
    <row r="49" spans="1:41" ht="13.5" thickBot="1">
      <c r="A49" s="617" t="str">
        <f>A47</f>
        <v>David Dunn</v>
      </c>
      <c r="B49" s="617"/>
      <c r="C49" s="647"/>
      <c r="D49" s="651"/>
      <c r="E49" s="618" t="str">
        <f t="shared" si="1"/>
        <v>Switzerland</v>
      </c>
      <c r="F49" s="619">
        <f>IF(M49="","",INDEX(Odds!C:C,MATCH(M49,Odds!G:G,0)))</f>
        <v>7</v>
      </c>
      <c r="G49" s="620">
        <f t="shared" si="2"/>
        <v>1.3636363636363638</v>
      </c>
      <c r="H49" s="614" t="str">
        <f t="shared" si="3"/>
        <v>√</v>
      </c>
      <c r="I49" s="615"/>
      <c r="J49" s="616"/>
      <c r="K49" s="348"/>
      <c r="L49" s="348"/>
      <c r="M49" s="408" t="s">
        <v>607</v>
      </c>
      <c r="N49" s="630" t="str">
        <f>INDEX(Odds!H:H,MATCH(M49,Odds!G:G,0))</f>
        <v>4/11</v>
      </c>
      <c r="O49" s="631">
        <f>INDEX(Odds!I:I,MATCH(M49,Odds!G:G,0))</f>
        <v>1.3636363636363638</v>
      </c>
      <c r="P49" s="626">
        <f>INDEX(Odds!J:J,MATCH(M49,Odds!G:G,0))</f>
        <v>1</v>
      </c>
      <c r="Q49" s="632">
        <f t="shared" si="4"/>
        <v>1.3636363636363638</v>
      </c>
      <c r="R49" s="505"/>
      <c r="S49" s="58"/>
      <c r="U49" s="35" t="str">
        <f>IF(Odds!G49="","",Odds!G49)</f>
        <v>Georgia draw</v>
      </c>
      <c r="V49" s="36" t="str">
        <f>INDEX(Odds!H:H,MATCH(U49,Odds!G:G,0))</f>
        <v>12/5</v>
      </c>
      <c r="W49" s="40">
        <f t="shared" ref="W49:W93" si="6">IF(Y3=AA3,1,0)</f>
        <v>0</v>
      </c>
      <c r="AB49" s="8">
        <f>INDEX(Odds!K:K,MATCH(M49,Odds!G:G,0))</f>
        <v>1</v>
      </c>
      <c r="AE49" s="508" t="str">
        <f>IF(R49="","",INDEX(Odds!H:H,MATCH(R49,Odds!G:G,0)))</f>
        <v/>
      </c>
      <c r="AF49" s="508" t="str">
        <f>IF(INDEX(Table!S:S,MATCH(A49,Table!F:F,0))="N","N","")</f>
        <v/>
      </c>
      <c r="AG49" s="69" t="s">
        <v>291</v>
      </c>
      <c r="AH49" s="72">
        <f>INDEX(Picks!I:I,MATCH(AG49,Picks!A:A,0))</f>
        <v>-7</v>
      </c>
      <c r="AI49" s="404">
        <f>INDEX(Weekly!I:I,MATCH(AG49,Weekly!E:E,0))</f>
        <v>0</v>
      </c>
      <c r="AJ49" s="69">
        <f>IF(AH49=-10,"",_xlfn.RANK.EQ(AH49,TopScores,0))</f>
        <v>40</v>
      </c>
      <c r="AL49" s="71" t="s">
        <v>351</v>
      </c>
      <c r="AM49" s="72">
        <f>INDEX(Picks!J:J,MATCH(AL49,Picks!A:A,0))</f>
        <v>78.099999999999994</v>
      </c>
      <c r="AN49" s="404">
        <f>INDEX(Weekly!I:I,MATCH(AL49,Weekly!E:E,0))</f>
        <v>2</v>
      </c>
      <c r="AO49" s="69">
        <f>IF(AM49="","",_xlfn.RANK.EQ(AM49,TopMaxScores,0))</f>
        <v>1</v>
      </c>
    </row>
    <row r="50" spans="1:41" ht="13.9" thickTop="1" thickBot="1">
      <c r="A50" s="604" t="str">
        <f>Results!B50</f>
        <v>Dot Bow</v>
      </c>
      <c r="B50" s="604" t="str">
        <f>INDEX(Table!E:E,MATCH(A50,Table!F:F,0))</f>
        <v>C</v>
      </c>
      <c r="C50" s="645">
        <f>INDEX(Table!D:D,MATCH(A50,Table!F:F,0))</f>
        <v>4</v>
      </c>
      <c r="D50" s="649">
        <f>INDEX(Table!I:I,MATCH(A50,Table!F:F,0))</f>
        <v>-8.6601282051282062</v>
      </c>
      <c r="E50" s="605" t="str">
        <f t="shared" si="1"/>
        <v>Exeter</v>
      </c>
      <c r="F50" s="606">
        <f>IF(M50="","",INDEX(Odds!C:C,MATCH(M50,Odds!G:G,0)))</f>
        <v>7</v>
      </c>
      <c r="G50" s="607">
        <f t="shared" si="2"/>
        <v>4</v>
      </c>
      <c r="H50" s="608" t="str">
        <f t="shared" si="3"/>
        <v>x</v>
      </c>
      <c r="I50" s="609">
        <f>IF(M50="",-10,INDEX(Results!T:T,MATCH(A50,Results!V:V,0)))</f>
        <v>-5.15</v>
      </c>
      <c r="J50" s="610">
        <f>IF(M50="","",INDEX(Results!AI:AI,MATCH(A50,Results!V:V,0)))</f>
        <v>44.725000000000009</v>
      </c>
      <c r="K50" s="348" t="str">
        <f>IF(INDEX(Table!Q:Q,MATCH(A50,Table!F:F,0))="N","N","Y")</f>
        <v>Y</v>
      </c>
      <c r="L50" s="347">
        <f>INDEX(Picks!AJ:AJ,MATCH(A50,Picks!AG:AG,0))</f>
        <v>28</v>
      </c>
      <c r="M50" s="407" t="s">
        <v>529</v>
      </c>
      <c r="N50" s="624" t="str">
        <f>INDEX(Odds!H:H,MATCH(M50,Odds!G:G,0))</f>
        <v>3/1</v>
      </c>
      <c r="O50" s="625">
        <f>INDEX(Odds!I:I,MATCH(M50,Odds!G:G,0))</f>
        <v>4</v>
      </c>
      <c r="P50" s="633">
        <f>INDEX(Odds!J:J,MATCH(M50,Odds!G:G,0))</f>
        <v>0</v>
      </c>
      <c r="Q50" s="627">
        <f t="shared" si="4"/>
        <v>0</v>
      </c>
      <c r="R50" s="504"/>
      <c r="S50" s="58"/>
      <c r="T50" s="58" t="s">
        <v>177</v>
      </c>
      <c r="U50" s="35" t="str">
        <f>IF(Odds!G50="","",Odds!G50)</f>
        <v>Hungary draw</v>
      </c>
      <c r="V50" s="36" t="str">
        <f>INDEX(Odds!H:H,MATCH(U50,Odds!G:G,0))</f>
        <v>21/10</v>
      </c>
      <c r="W50" s="40">
        <f t="shared" si="6"/>
        <v>0</v>
      </c>
      <c r="AB50" s="8">
        <f>INDEX(Odds!K:K,MATCH(M50,Odds!G:G,0))</f>
        <v>1</v>
      </c>
      <c r="AE50" s="507" t="str">
        <f>IF(R50="","",INDEX(Odds!H:H,MATCH(R50,Odds!G:G,0)))</f>
        <v/>
      </c>
      <c r="AF50" s="507" t="str">
        <f>IF(INDEX(Table!S:S,MATCH(A50,Table!F:F,0))="N","N","")</f>
        <v/>
      </c>
      <c r="AG50" s="69" t="s">
        <v>272</v>
      </c>
      <c r="AH50" s="72">
        <f>INDEX(Picks!I:I,MATCH(AG50,Picks!A:A,0))</f>
        <v>-10</v>
      </c>
      <c r="AI50" s="404">
        <f>INDEX(Weekly!I:I,MATCH(AG50,Weekly!E:E,0))</f>
        <v>0</v>
      </c>
      <c r="AJ50" s="69" t="str">
        <f>IF(AH50=-10,"",_xlfn.RANK.EQ(AH50,TopScores,0))</f>
        <v/>
      </c>
      <c r="AL50" s="69" t="s">
        <v>272</v>
      </c>
      <c r="AM50" s="72" t="str">
        <f>INDEX(Picks!J:J,MATCH(AL50,Picks!A:A,0))</f>
        <v/>
      </c>
      <c r="AN50" s="404">
        <f>INDEX(Weekly!I:I,MATCH(AL50,Weekly!E:E,0))</f>
        <v>0</v>
      </c>
      <c r="AO50" s="69" t="str">
        <f>IF(AM50="","",_xlfn.RANK.EQ(AM50,TopMaxScores,0))</f>
        <v/>
      </c>
    </row>
    <row r="51" spans="1:41">
      <c r="A51" s="611" t="str">
        <f>A50</f>
        <v>Dot Bow</v>
      </c>
      <c r="B51" s="611"/>
      <c r="C51" s="646"/>
      <c r="D51" s="650"/>
      <c r="E51" s="612" t="str">
        <f t="shared" si="1"/>
        <v>Salford</v>
      </c>
      <c r="F51" s="606">
        <f>IF(M51="","",INDEX(Odds!C:C,MATCH(M51,Odds!G:G,0)))</f>
        <v>7</v>
      </c>
      <c r="G51" s="613">
        <f t="shared" si="2"/>
        <v>1.85</v>
      </c>
      <c r="H51" s="614" t="str">
        <f t="shared" si="3"/>
        <v>√</v>
      </c>
      <c r="I51" s="615"/>
      <c r="J51" s="616"/>
      <c r="K51" s="348">
        <f>IF(J50="",0,1)</f>
        <v>1</v>
      </c>
      <c r="L51" s="348"/>
      <c r="M51" s="407" t="s">
        <v>530</v>
      </c>
      <c r="N51" s="628" t="str">
        <f>INDEX(Odds!H:H,MATCH(M51,Odds!G:G,0))</f>
        <v>17/20</v>
      </c>
      <c r="O51" s="629">
        <f>INDEX(Odds!I:I,MATCH(M51,Odds!G:G,0))</f>
        <v>1.85</v>
      </c>
      <c r="P51" s="626">
        <f>INDEX(Odds!J:J,MATCH(M51,Odds!G:G,0))</f>
        <v>1</v>
      </c>
      <c r="Q51" s="627">
        <f t="shared" si="4"/>
        <v>1.85</v>
      </c>
      <c r="R51" s="504"/>
      <c r="S51" s="58"/>
      <c r="U51" s="35" t="str">
        <f>IF(Odds!G51="","",Odds!G51)</f>
        <v>Italy draw</v>
      </c>
      <c r="V51" s="36" t="str">
        <f>INDEX(Odds!H:H,MATCH(U51,Odds!G:G,0))</f>
        <v>12/5</v>
      </c>
      <c r="W51" s="40">
        <f t="shared" si="6"/>
        <v>0</v>
      </c>
      <c r="AB51" s="8">
        <f>INDEX(Odds!K:K,MATCH(M51,Odds!G:G,0))</f>
        <v>1</v>
      </c>
      <c r="AE51" s="507" t="str">
        <f>IF(R51="","",INDEX(Odds!H:H,MATCH(R51,Odds!G:G,0)))</f>
        <v/>
      </c>
      <c r="AF51" s="507" t="str">
        <f>IF(INDEX(Table!S:S,MATCH(A51,Table!F:F,0))="N","N","")</f>
        <v/>
      </c>
      <c r="AG51" s="69" t="s">
        <v>350</v>
      </c>
      <c r="AH51" s="72">
        <f>INDEX(Picks!I:I,MATCH(AG51,Picks!A:A,0))</f>
        <v>-10</v>
      </c>
      <c r="AI51" s="404">
        <f>INDEX(Weekly!I:I,MATCH(AG51,Weekly!E:E,0))</f>
        <v>0</v>
      </c>
      <c r="AJ51" s="69" t="str">
        <f>IF(AH51=-10,"",_xlfn.RANK.EQ(AH51,TopScores,0))</f>
        <v/>
      </c>
      <c r="AL51" s="71" t="s">
        <v>350</v>
      </c>
      <c r="AM51" s="72" t="str">
        <f>INDEX(Picks!J:J,MATCH(AL51,Picks!A:A,0))</f>
        <v/>
      </c>
      <c r="AN51" s="404">
        <f>INDEX(Weekly!I:I,MATCH(AL51,Weekly!E:E,0))</f>
        <v>0</v>
      </c>
      <c r="AO51" s="69" t="str">
        <f>IF(AM51="","",_xlfn.RANK.EQ(AM51,TopMaxScores,0))</f>
        <v/>
      </c>
    </row>
    <row r="52" spans="1:41" ht="13.5" thickBot="1">
      <c r="A52" s="617" t="str">
        <f>A50</f>
        <v>Dot Bow</v>
      </c>
      <c r="B52" s="617"/>
      <c r="C52" s="647"/>
      <c r="D52" s="651"/>
      <c r="E52" s="618" t="str">
        <f t="shared" si="1"/>
        <v>Scotland</v>
      </c>
      <c r="F52" s="619">
        <f>IF(M52="","",INDEX(Odds!C:C,MATCH(M52,Odds!G:G,0)))</f>
        <v>7</v>
      </c>
      <c r="G52" s="620">
        <f t="shared" si="2"/>
        <v>2.7</v>
      </c>
      <c r="H52" s="614" t="str">
        <f t="shared" si="3"/>
        <v>x</v>
      </c>
      <c r="I52" s="615"/>
      <c r="J52" s="616"/>
      <c r="K52" s="348"/>
      <c r="L52" s="348"/>
      <c r="M52" s="408" t="s">
        <v>613</v>
      </c>
      <c r="N52" s="630" t="str">
        <f>INDEX(Odds!H:H,MATCH(M52,Odds!G:G,0))</f>
        <v>17/10</v>
      </c>
      <c r="O52" s="631">
        <f>INDEX(Odds!I:I,MATCH(M52,Odds!G:G,0))</f>
        <v>2.7</v>
      </c>
      <c r="P52" s="626">
        <f>INDEX(Odds!J:J,MATCH(M52,Odds!G:G,0))</f>
        <v>0</v>
      </c>
      <c r="Q52" s="632">
        <f t="shared" si="4"/>
        <v>0</v>
      </c>
      <c r="R52" s="505"/>
      <c r="S52" s="58"/>
      <c r="U52" s="35" t="str">
        <f>IF(Odds!G52="","",Odds!G52)</f>
        <v>Montenegro draw</v>
      </c>
      <c r="V52" s="36" t="str">
        <f>INDEX(Odds!H:H,MATCH(U52,Odds!G:G,0))</f>
        <v>5/2</v>
      </c>
      <c r="W52" s="40">
        <f t="shared" si="6"/>
        <v>0</v>
      </c>
      <c r="AB52" s="8">
        <f>INDEX(Odds!K:K,MATCH(M52,Odds!G:G,0))</f>
        <v>1</v>
      </c>
      <c r="AE52" s="508" t="str">
        <f>IF(R52="","",INDEX(Odds!H:H,MATCH(R52,Odds!G:G,0)))</f>
        <v/>
      </c>
      <c r="AF52" s="508" t="str">
        <f>IF(INDEX(Table!S:S,MATCH(A52,Table!F:F,0))="N","N","")</f>
        <v/>
      </c>
      <c r="AG52" s="58"/>
      <c r="AH52" s="58"/>
      <c r="AI52" s="405"/>
      <c r="AJ52" s="58"/>
    </row>
    <row r="53" spans="1:41" ht="13.9" thickTop="1" thickBot="1">
      <c r="A53" s="604" t="str">
        <f>Results!B53</f>
        <v>Frank Allen</v>
      </c>
      <c r="B53" s="604" t="str">
        <f>INDEX(Table!E:E,MATCH(A53,Table!F:F,0))</f>
        <v>B</v>
      </c>
      <c r="C53" s="645">
        <f>INDEX(Table!D:D,MATCH(A53,Table!F:F,0))</f>
        <v>3</v>
      </c>
      <c r="D53" s="649">
        <f>INDEX(Table!I:I,MATCH(A53,Table!F:F,0))</f>
        <v>6.2209090909090916</v>
      </c>
      <c r="E53" s="605" t="str">
        <f t="shared" si="1"/>
        <v>Italy draw</v>
      </c>
      <c r="F53" s="606">
        <f>IF(M53="","",INDEX(Odds!C:C,MATCH(M53,Odds!G:G,0)))</f>
        <v>6</v>
      </c>
      <c r="G53" s="607">
        <f t="shared" si="2"/>
        <v>3.4</v>
      </c>
      <c r="H53" s="608" t="str">
        <f t="shared" si="3"/>
        <v>x</v>
      </c>
      <c r="I53" s="609">
        <f>IF(M53="",-10,INDEX(Results!T:T,MATCH(A53,Results!V:V,0)))</f>
        <v>0.59090909090909083</v>
      </c>
      <c r="J53" s="610">
        <f>IF(M53="","",INDEX(Results!AI:AI,MATCH(A53,Results!V:V,0)))</f>
        <v>29.799999999999997</v>
      </c>
      <c r="K53" s="348" t="str">
        <f>IF(INDEX(Table!Q:Q,MATCH(A53,Table!F:F,0))="N","N","Y")</f>
        <v>Y</v>
      </c>
      <c r="L53" s="347">
        <f>INDEX(Picks!AJ:AJ,MATCH(A53,Picks!AG:AG,0))</f>
        <v>11</v>
      </c>
      <c r="M53" s="407" t="s">
        <v>646</v>
      </c>
      <c r="N53" s="624" t="str">
        <f>INDEX(Odds!H:H,MATCH(M53,Odds!G:G,0))</f>
        <v>12/5</v>
      </c>
      <c r="O53" s="625">
        <f>INDEX(Odds!I:I,MATCH(M53,Odds!G:G,0))</f>
        <v>3.4</v>
      </c>
      <c r="P53" s="633">
        <f>INDEX(Odds!J:J,MATCH(M53,Odds!G:G,0))</f>
        <v>0</v>
      </c>
      <c r="Q53" s="627">
        <f t="shared" si="4"/>
        <v>0</v>
      </c>
      <c r="R53" s="504"/>
      <c r="S53" s="58"/>
      <c r="U53" s="35" t="str">
        <f>IF(Odds!G53="","",Odds!G53)</f>
        <v>Poland draw</v>
      </c>
      <c r="V53" s="36" t="str">
        <f>INDEX(Odds!H:H,MATCH(U53,Odds!G:G,0))</f>
        <v>13/5</v>
      </c>
      <c r="W53" s="40">
        <f t="shared" si="6"/>
        <v>1</v>
      </c>
      <c r="AB53" s="8">
        <f>INDEX(Odds!K:K,MATCH(M53,Odds!G:G,0))</f>
        <v>1</v>
      </c>
      <c r="AE53" s="507" t="str">
        <f>IF(R53="","",INDEX(Odds!H:H,MATCH(R53,Odds!G:G,0)))</f>
        <v/>
      </c>
      <c r="AF53" s="507" t="str">
        <f>IF(INDEX(Table!S:S,MATCH(A53,Table!F:F,0))="N","N","")</f>
        <v/>
      </c>
      <c r="AG53" s="58"/>
      <c r="AH53" s="58"/>
      <c r="AI53" s="405"/>
      <c r="AJ53" s="58"/>
    </row>
    <row r="54" spans="1:41">
      <c r="A54" s="611" t="str">
        <f>A53</f>
        <v>Frank Allen</v>
      </c>
      <c r="B54" s="611"/>
      <c r="C54" s="646"/>
      <c r="D54" s="650"/>
      <c r="E54" s="612" t="str">
        <f t="shared" si="1"/>
        <v>Bristol R</v>
      </c>
      <c r="F54" s="606">
        <f>IF(M54="","",INDEX(Odds!C:C,MATCH(M54,Odds!G:G,0)))</f>
        <v>7</v>
      </c>
      <c r="G54" s="613">
        <f t="shared" si="2"/>
        <v>1.7272727272727273</v>
      </c>
      <c r="H54" s="614" t="str">
        <f t="shared" si="3"/>
        <v>√</v>
      </c>
      <c r="I54" s="615"/>
      <c r="J54" s="616"/>
      <c r="K54" s="348">
        <f>IF(J53="",0,1)</f>
        <v>1</v>
      </c>
      <c r="L54" s="348"/>
      <c r="M54" s="407" t="s">
        <v>527</v>
      </c>
      <c r="N54" s="628" t="str">
        <f>INDEX(Odds!H:H,MATCH(M54,Odds!G:G,0))</f>
        <v>8/11</v>
      </c>
      <c r="O54" s="629">
        <f>INDEX(Odds!I:I,MATCH(M54,Odds!G:G,0))</f>
        <v>1.7272727272727273</v>
      </c>
      <c r="P54" s="626">
        <f>INDEX(Odds!J:J,MATCH(M54,Odds!G:G,0))</f>
        <v>1</v>
      </c>
      <c r="Q54" s="627">
        <f t="shared" si="4"/>
        <v>1.7272727272727273</v>
      </c>
      <c r="R54" s="504"/>
      <c r="S54" s="58"/>
      <c r="U54" s="35" t="str">
        <f>IF(Odds!G54="","",Odds!G54)</f>
        <v>Sweden draw</v>
      </c>
      <c r="V54" s="36" t="str">
        <f>INDEX(Odds!H:H,MATCH(U54,Odds!G:G,0))</f>
        <v>16/5</v>
      </c>
      <c r="W54" s="40">
        <f t="shared" si="6"/>
        <v>0</v>
      </c>
      <c r="AB54" s="8">
        <f>INDEX(Odds!K:K,MATCH(M54,Odds!G:G,0))</f>
        <v>1</v>
      </c>
      <c r="AE54" s="507" t="str">
        <f>IF(R54="","",INDEX(Odds!H:H,MATCH(R54,Odds!G:G,0)))</f>
        <v/>
      </c>
      <c r="AF54" s="507" t="str">
        <f>IF(INDEX(Table!S:S,MATCH(A54,Table!F:F,0))="N","N","")</f>
        <v/>
      </c>
      <c r="AG54" s="58"/>
      <c r="AH54" s="58"/>
      <c r="AI54" s="405"/>
      <c r="AJ54" s="58"/>
    </row>
    <row r="55" spans="1:41" ht="13.5" thickBot="1">
      <c r="A55" s="617" t="str">
        <f>A53</f>
        <v>Frank Allen</v>
      </c>
      <c r="B55" s="617"/>
      <c r="C55" s="647"/>
      <c r="D55" s="651"/>
      <c r="E55" s="618" t="str">
        <f t="shared" si="1"/>
        <v>Croatia</v>
      </c>
      <c r="F55" s="619">
        <f>IF(M55="","",INDEX(Odds!C:C,MATCH(M55,Odds!G:G,0)))</f>
        <v>7</v>
      </c>
      <c r="G55" s="620">
        <f t="shared" si="2"/>
        <v>2.15</v>
      </c>
      <c r="H55" s="614" t="str">
        <f t="shared" si="3"/>
        <v>√</v>
      </c>
      <c r="I55" s="615"/>
      <c r="J55" s="616"/>
      <c r="K55" s="348"/>
      <c r="L55" s="348"/>
      <c r="M55" s="408" t="s">
        <v>599</v>
      </c>
      <c r="N55" s="630" t="str">
        <f>INDEX(Odds!H:H,MATCH(M55,Odds!G:G,0))</f>
        <v>23/20</v>
      </c>
      <c r="O55" s="631">
        <f>INDEX(Odds!I:I,MATCH(M55,Odds!G:G,0))</f>
        <v>2.15</v>
      </c>
      <c r="P55" s="626">
        <f>INDEX(Odds!J:J,MATCH(M55,Odds!G:G,0))</f>
        <v>1</v>
      </c>
      <c r="Q55" s="632">
        <f t="shared" si="4"/>
        <v>2.15</v>
      </c>
      <c r="R55" s="505"/>
      <c r="S55" s="58"/>
      <c r="U55" s="35" t="str">
        <f>IF(Odds!G55="","",Odds!G55)</f>
        <v>Turkey draw</v>
      </c>
      <c r="V55" s="36" t="str">
        <f>INDEX(Odds!H:H,MATCH(U55,Odds!G:G,0))</f>
        <v>10/3</v>
      </c>
      <c r="W55" s="40">
        <f t="shared" si="6"/>
        <v>0</v>
      </c>
      <c r="AB55" s="8">
        <f>INDEX(Odds!K:K,MATCH(M55,Odds!G:G,0))</f>
        <v>1</v>
      </c>
      <c r="AE55" s="508" t="str">
        <f>IF(R55="","",INDEX(Odds!H:H,MATCH(R55,Odds!G:G,0)))</f>
        <v/>
      </c>
      <c r="AF55" s="508" t="str">
        <f>IF(INDEX(Table!S:S,MATCH(A55,Table!F:F,0))="N","N","")</f>
        <v/>
      </c>
      <c r="AG55" s="58"/>
      <c r="AH55" s="58"/>
      <c r="AI55" s="405"/>
      <c r="AJ55" s="58"/>
    </row>
    <row r="56" spans="1:41" ht="13.9" thickTop="1" thickBot="1">
      <c r="A56" s="604" t="str">
        <f>Results!B56</f>
        <v>Gareth Powell</v>
      </c>
      <c r="B56" s="604" t="str">
        <f>INDEX(Table!E:E,MATCH(A56,Table!F:F,0))</f>
        <v>A</v>
      </c>
      <c r="C56" s="645">
        <f>INDEX(Table!D:D,MATCH(A56,Table!F:F,0))</f>
        <v>14</v>
      </c>
      <c r="D56" s="649">
        <f>INDEX(Table!I:I,MATCH(A56,Table!F:F,0))</f>
        <v>-32.25</v>
      </c>
      <c r="E56" s="605" t="str">
        <f t="shared" si="1"/>
        <v>Wales</v>
      </c>
      <c r="F56" s="606">
        <f>IF(M56="","",INDEX(Odds!C:C,MATCH(M56,Odds!G:G,0)))</f>
        <v>1</v>
      </c>
      <c r="G56" s="607">
        <f t="shared" si="2"/>
        <v>5</v>
      </c>
      <c r="H56" s="608" t="str">
        <f t="shared" si="3"/>
        <v>x</v>
      </c>
      <c r="I56" s="609">
        <f>IF(M56="",-10,INDEX(Results!T:T,MATCH(A56,Results!V:V,0)))</f>
        <v>-7</v>
      </c>
      <c r="J56" s="610">
        <f>IF(M56="","",INDEX(Results!AI:AI,MATCH(A56,Results!V:V,0)))</f>
        <v>65.5</v>
      </c>
      <c r="K56" s="348" t="str">
        <f>IF(INDEX(Table!Q:Q,MATCH(A56,Table!F:F,0))="N","N","Y")</f>
        <v>Y</v>
      </c>
      <c r="L56" s="347">
        <f>INDEX(Picks!AJ:AJ,MATCH(A56,Picks!AG:AG,0))</f>
        <v>40</v>
      </c>
      <c r="M56" s="407" t="s">
        <v>626</v>
      </c>
      <c r="N56" s="624" t="str">
        <f>INDEX(Odds!H:H,MATCH(M56,Odds!G:G,0))</f>
        <v>4/1</v>
      </c>
      <c r="O56" s="625">
        <f>INDEX(Odds!I:I,MATCH(M56,Odds!G:G,0))</f>
        <v>5</v>
      </c>
      <c r="P56" s="633">
        <f>INDEX(Odds!J:J,MATCH(M56,Odds!G:G,0))</f>
        <v>0</v>
      </c>
      <c r="Q56" s="627">
        <f t="shared" si="4"/>
        <v>0</v>
      </c>
      <c r="R56" s="504"/>
      <c r="S56" s="58"/>
      <c r="U56" s="35" t="str">
        <f>IF(Odds!G56="","",Odds!G56)</f>
        <v>Cambridge draw</v>
      </c>
      <c r="V56" s="36" t="str">
        <f>INDEX(Odds!H:H,MATCH(U56,Odds!G:G,0))</f>
        <v>12/5</v>
      </c>
      <c r="W56" s="40">
        <f t="shared" si="6"/>
        <v>1</v>
      </c>
      <c r="AB56" s="8">
        <f>INDEX(Odds!K:K,MATCH(M56,Odds!G:G,0))</f>
        <v>1</v>
      </c>
      <c r="AE56" s="507" t="str">
        <f>IF(R56="","",INDEX(Odds!H:H,MATCH(R56,Odds!G:G,0)))</f>
        <v/>
      </c>
      <c r="AF56" s="507" t="str">
        <f>IF(INDEX(Table!S:S,MATCH(A56,Table!F:F,0))="N","N","")</f>
        <v/>
      </c>
      <c r="AG56" s="58"/>
      <c r="AH56" s="58"/>
      <c r="AI56" s="405"/>
      <c r="AJ56" s="58"/>
    </row>
    <row r="57" spans="1:41">
      <c r="A57" s="611" t="str">
        <f>A56</f>
        <v>Gareth Powell</v>
      </c>
      <c r="B57" s="611"/>
      <c r="C57" s="646"/>
      <c r="D57" s="650"/>
      <c r="E57" s="612" t="str">
        <f t="shared" si="1"/>
        <v>Reading</v>
      </c>
      <c r="F57" s="606">
        <f>IF(M57="","",INDEX(Odds!C:C,MATCH(M57,Odds!G:G,0)))</f>
        <v>7</v>
      </c>
      <c r="G57" s="613">
        <f t="shared" si="2"/>
        <v>2.5</v>
      </c>
      <c r="H57" s="614" t="str">
        <f t="shared" si="3"/>
        <v>x</v>
      </c>
      <c r="I57" s="615"/>
      <c r="J57" s="616"/>
      <c r="K57" s="348">
        <f>IF(J56="",0,1)</f>
        <v>1</v>
      </c>
      <c r="L57" s="348"/>
      <c r="M57" s="407" t="s">
        <v>549</v>
      </c>
      <c r="N57" s="628" t="str">
        <f>INDEX(Odds!H:H,MATCH(M57,Odds!G:G,0))</f>
        <v>6/4</v>
      </c>
      <c r="O57" s="629">
        <f>INDEX(Odds!I:I,MATCH(M57,Odds!G:G,0))</f>
        <v>2.5</v>
      </c>
      <c r="P57" s="626">
        <f>INDEX(Odds!J:J,MATCH(M57,Odds!G:G,0))</f>
        <v>0</v>
      </c>
      <c r="Q57" s="627">
        <f t="shared" si="4"/>
        <v>0</v>
      </c>
      <c r="R57" s="504"/>
      <c r="S57" s="58"/>
      <c r="U57" s="35" t="str">
        <f>IF(Odds!G57="","",Odds!G57)</f>
        <v>Plymouth draw</v>
      </c>
      <c r="V57" s="36" t="str">
        <f>INDEX(Odds!H:H,MATCH(U57,Odds!G:G,0))</f>
        <v>14/5</v>
      </c>
      <c r="W57" s="40">
        <f t="shared" si="6"/>
        <v>0</v>
      </c>
      <c r="AB57" s="8">
        <f>INDEX(Odds!K:K,MATCH(M57,Odds!G:G,0))</f>
        <v>1</v>
      </c>
      <c r="AE57" s="507" t="str">
        <f>IF(R57="","",INDEX(Odds!H:H,MATCH(R57,Odds!G:G,0)))</f>
        <v/>
      </c>
      <c r="AF57" s="507" t="str">
        <f>IF(INDEX(Table!S:S,MATCH(A57,Table!F:F,0))="N","N","")</f>
        <v/>
      </c>
      <c r="AG57" s="58"/>
      <c r="AH57" s="58"/>
      <c r="AI57" s="405"/>
      <c r="AJ57" s="58"/>
    </row>
    <row r="58" spans="1:41" ht="13.5" thickBot="1">
      <c r="A58" s="617" t="str">
        <f>A56</f>
        <v>Gareth Powell</v>
      </c>
      <c r="B58" s="617"/>
      <c r="C58" s="647"/>
      <c r="D58" s="651"/>
      <c r="E58" s="618" t="str">
        <f t="shared" si="1"/>
        <v>Israel</v>
      </c>
      <c r="F58" s="619">
        <f>IF(M58="","",INDEX(Odds!C:C,MATCH(M58,Odds!G:G,0)))</f>
        <v>1</v>
      </c>
      <c r="G58" s="620">
        <f t="shared" si="2"/>
        <v>2.5</v>
      </c>
      <c r="H58" s="614" t="str">
        <f t="shared" si="3"/>
        <v>x</v>
      </c>
      <c r="I58" s="615"/>
      <c r="J58" s="616"/>
      <c r="K58" s="348"/>
      <c r="L58" s="348"/>
      <c r="M58" s="408" t="s">
        <v>631</v>
      </c>
      <c r="N58" s="630" t="str">
        <f>INDEX(Odds!H:H,MATCH(M58,Odds!G:G,0))</f>
        <v>6/4</v>
      </c>
      <c r="O58" s="631">
        <f>INDEX(Odds!I:I,MATCH(M58,Odds!G:G,0))</f>
        <v>2.5</v>
      </c>
      <c r="P58" s="626">
        <f>INDEX(Odds!J:J,MATCH(M58,Odds!G:G,0))</f>
        <v>0</v>
      </c>
      <c r="Q58" s="632">
        <f t="shared" si="4"/>
        <v>0</v>
      </c>
      <c r="R58" s="505"/>
      <c r="S58" s="58"/>
      <c r="U58" s="35" t="str">
        <f>IF(Odds!G58="","",Odds!G58)</f>
        <v>Stockport draw</v>
      </c>
      <c r="V58" s="36" t="str">
        <f>INDEX(Odds!H:H,MATCH(U58,Odds!G:G,0))</f>
        <v>19/5</v>
      </c>
      <c r="W58" s="40">
        <f t="shared" si="6"/>
        <v>0</v>
      </c>
      <c r="AB58" s="8">
        <f>INDEX(Odds!K:K,MATCH(M58,Odds!G:G,0))</f>
        <v>1</v>
      </c>
      <c r="AE58" s="508" t="str">
        <f>IF(R58="","",INDEX(Odds!H:H,MATCH(R58,Odds!G:G,0)))</f>
        <v/>
      </c>
      <c r="AF58" s="508" t="str">
        <f>IF(INDEX(Table!S:S,MATCH(A58,Table!F:F,0))="N","N","")</f>
        <v/>
      </c>
      <c r="AG58" s="58"/>
      <c r="AH58" s="58"/>
      <c r="AI58" s="405"/>
      <c r="AJ58" s="58"/>
    </row>
    <row r="59" spans="1:41" ht="13.9" thickTop="1" thickBot="1">
      <c r="A59" s="604" t="str">
        <f>Results!B59</f>
        <v>Gerard Ventom</v>
      </c>
      <c r="B59" s="604" t="str">
        <f>INDEX(Table!E:E,MATCH(A59,Table!F:F,0))</f>
        <v>B</v>
      </c>
      <c r="C59" s="645">
        <f>INDEX(Table!D:D,MATCH(A59,Table!F:F,0))</f>
        <v>4</v>
      </c>
      <c r="D59" s="649">
        <f>INDEX(Table!I:I,MATCH(A59,Table!F:F,0))</f>
        <v>0.77499999999999858</v>
      </c>
      <c r="E59" s="605" t="str">
        <f t="shared" si="1"/>
        <v>Rotherham draw</v>
      </c>
      <c r="F59" s="606">
        <f>IF(M59="","",INDEX(Odds!C:C,MATCH(M59,Odds!G:G,0)))</f>
        <v>7</v>
      </c>
      <c r="G59" s="607">
        <f t="shared" si="2"/>
        <v>3.4</v>
      </c>
      <c r="H59" s="608" t="str">
        <f t="shared" si="3"/>
        <v>√</v>
      </c>
      <c r="I59" s="609">
        <f>IF(M59="",-10,INDEX(Results!T:T,MATCH(A59,Results!V:V,0)))</f>
        <v>9.6000000000000014</v>
      </c>
      <c r="J59" s="610">
        <f>IF(M59="","",INDEX(Results!AI:AI,MATCH(A59,Results!V:V,0)))</f>
        <v>53.6</v>
      </c>
      <c r="K59" s="348" t="str">
        <f>IF(INDEX(Table!Q:Q,MATCH(A59,Table!F:F,0))="N","N","Y")</f>
        <v>Y</v>
      </c>
      <c r="L59" s="347">
        <f>INDEX(Picks!AJ:AJ,MATCH(A59,Picks!AG:AG,0))</f>
        <v>4</v>
      </c>
      <c r="M59" s="407" t="s">
        <v>649</v>
      </c>
      <c r="N59" s="624" t="str">
        <f>INDEX(Odds!H:H,MATCH(M59,Odds!G:G,0))</f>
        <v>12/5</v>
      </c>
      <c r="O59" s="625">
        <f>INDEX(Odds!I:I,MATCH(M59,Odds!G:G,0))</f>
        <v>3.4</v>
      </c>
      <c r="P59" s="633">
        <f>INDEX(Odds!J:J,MATCH(M59,Odds!G:G,0))</f>
        <v>1</v>
      </c>
      <c r="Q59" s="627">
        <f t="shared" si="4"/>
        <v>3.4</v>
      </c>
      <c r="R59" s="504"/>
      <c r="S59" s="58"/>
      <c r="U59" s="35" t="str">
        <f>IF(Odds!G59="","",Odds!G59)</f>
        <v>Wycombe draw</v>
      </c>
      <c r="V59" s="36" t="str">
        <f>INDEX(Odds!H:H,MATCH(U59,Odds!G:G,0))</f>
        <v>12/5</v>
      </c>
      <c r="W59" s="40">
        <f t="shared" si="6"/>
        <v>1</v>
      </c>
      <c r="AB59" s="8">
        <f>INDEX(Odds!K:K,MATCH(M59,Odds!G:G,0))</f>
        <v>1</v>
      </c>
      <c r="AE59" s="507" t="str">
        <f>IF(R59="","",INDEX(Odds!H:H,MATCH(R59,Odds!G:G,0)))</f>
        <v/>
      </c>
      <c r="AF59" s="507" t="str">
        <f>IF(INDEX(Table!S:S,MATCH(A59,Table!F:F,0))="N","N","")</f>
        <v/>
      </c>
      <c r="AG59" s="58"/>
      <c r="AH59" s="58"/>
      <c r="AI59" s="405"/>
      <c r="AJ59" s="58"/>
    </row>
    <row r="60" spans="1:41">
      <c r="A60" s="611" t="str">
        <f>A59</f>
        <v>Gerard Ventom</v>
      </c>
      <c r="B60" s="611"/>
      <c r="C60" s="646"/>
      <c r="D60" s="650"/>
      <c r="E60" s="612" t="str">
        <f>IF(M60="","",M60)</f>
        <v>Shrewsbury draw</v>
      </c>
      <c r="F60" s="606">
        <f>IF(M60="","",INDEX(Odds!C:C,MATCH(M60,Odds!G:G,0)))</f>
        <v>7</v>
      </c>
      <c r="G60" s="613">
        <f t="shared" si="2"/>
        <v>3</v>
      </c>
      <c r="H60" s="614" t="str">
        <f t="shared" si="3"/>
        <v>√</v>
      </c>
      <c r="I60" s="615"/>
      <c r="J60" s="616"/>
      <c r="K60" s="348">
        <f>IF(J59="",0,1)</f>
        <v>1</v>
      </c>
      <c r="L60" s="348"/>
      <c r="M60" s="407" t="s">
        <v>641</v>
      </c>
      <c r="N60" s="628" t="str">
        <f>INDEX(Odds!H:H,MATCH(M60,Odds!G:G,0))</f>
        <v>2/1</v>
      </c>
      <c r="O60" s="629">
        <f>INDEX(Odds!I:I,MATCH(M60,Odds!G:G,0))</f>
        <v>3</v>
      </c>
      <c r="P60" s="626">
        <f>INDEX(Odds!J:J,MATCH(M60,Odds!G:G,0))</f>
        <v>1</v>
      </c>
      <c r="Q60" s="627">
        <f t="shared" si="4"/>
        <v>3</v>
      </c>
      <c r="R60" s="504"/>
      <c r="S60" s="58"/>
      <c r="U60" s="35" t="str">
        <f>IF(Odds!G60="","",Odds!G60)</f>
        <v>Bristol R draw</v>
      </c>
      <c r="V60" s="36" t="str">
        <f>INDEX(Odds!H:H,MATCH(U60,Odds!G:G,0))</f>
        <v>14/5</v>
      </c>
      <c r="W60" s="40">
        <f t="shared" si="6"/>
        <v>0</v>
      </c>
      <c r="AB60" s="8">
        <f>INDEX(Odds!K:K,MATCH(M60,Odds!G:G,0))</f>
        <v>1</v>
      </c>
      <c r="AE60" s="507" t="str">
        <f>IF(R60="","",INDEX(Odds!H:H,MATCH(R60,Odds!G:G,0)))</f>
        <v/>
      </c>
      <c r="AF60" s="507" t="str">
        <f>IF(INDEX(Table!S:S,MATCH(A60,Table!F:F,0))="N","N","")</f>
        <v/>
      </c>
      <c r="AG60" s="58"/>
      <c r="AH60" s="58"/>
      <c r="AI60" s="405"/>
      <c r="AJ60" s="58"/>
    </row>
    <row r="61" spans="1:41" ht="13.5" thickBot="1">
      <c r="A61" s="617" t="str">
        <f>A59</f>
        <v>Gerard Ventom</v>
      </c>
      <c r="B61" s="617"/>
      <c r="C61" s="647"/>
      <c r="D61" s="651"/>
      <c r="E61" s="618" t="str">
        <f t="shared" ref="E61:E106" si="7">IF(M61="","",M61)</f>
        <v>Tranmere</v>
      </c>
      <c r="F61" s="619">
        <f>IF(M61="","",INDEX(Odds!C:C,MATCH(M61,Odds!G:G,0)))</f>
        <v>7</v>
      </c>
      <c r="G61" s="620">
        <f t="shared" ref="G61:G106" si="8">IF(M61="","",O61)</f>
        <v>2.5</v>
      </c>
      <c r="H61" s="614" t="str">
        <f t="shared" si="3"/>
        <v>x</v>
      </c>
      <c r="I61" s="615"/>
      <c r="J61" s="616"/>
      <c r="K61" s="348"/>
      <c r="L61" s="348"/>
      <c r="M61" s="408" t="s">
        <v>532</v>
      </c>
      <c r="N61" s="630" t="str">
        <f>INDEX(Odds!H:H,MATCH(M61,Odds!G:G,0))</f>
        <v>6/4</v>
      </c>
      <c r="O61" s="631">
        <f>INDEX(Odds!I:I,MATCH(M61,Odds!G:G,0))</f>
        <v>2.5</v>
      </c>
      <c r="P61" s="626">
        <f>INDEX(Odds!J:J,MATCH(M61,Odds!G:G,0))</f>
        <v>0</v>
      </c>
      <c r="Q61" s="632">
        <f t="shared" si="4"/>
        <v>0</v>
      </c>
      <c r="R61" s="505"/>
      <c r="S61" s="58"/>
      <c r="U61" s="35" t="str">
        <f>IF(Odds!G61="","",Odds!G61)</f>
        <v>Cheltenham draw</v>
      </c>
      <c r="V61" s="36" t="str">
        <f>INDEX(Odds!H:H,MATCH(U61,Odds!G:G,0))</f>
        <v>5/2</v>
      </c>
      <c r="W61" s="40">
        <f t="shared" si="6"/>
        <v>0</v>
      </c>
      <c r="AB61" s="8">
        <f>INDEX(Odds!K:K,MATCH(M61,Odds!G:G,0))</f>
        <v>1</v>
      </c>
      <c r="AE61" s="508" t="str">
        <f>IF(R61="","",INDEX(Odds!H:H,MATCH(R61,Odds!G:G,0)))</f>
        <v/>
      </c>
      <c r="AF61" s="508" t="str">
        <f>IF(INDEX(Table!S:S,MATCH(A61,Table!F:F,0))="N","N","")</f>
        <v/>
      </c>
      <c r="AG61" s="58"/>
      <c r="AH61" s="58"/>
      <c r="AI61" s="405"/>
      <c r="AJ61" s="58"/>
    </row>
    <row r="62" spans="1:41" ht="13.9" thickTop="1" thickBot="1">
      <c r="A62" s="604" t="str">
        <f>Results!B62</f>
        <v>Graham Miller</v>
      </c>
      <c r="B62" s="604" t="str">
        <f>INDEX(Table!E:E,MATCH(A62,Table!F:F,0))</f>
        <v>B</v>
      </c>
      <c r="C62" s="645">
        <f>INDEX(Table!D:D,MATCH(A62,Table!F:F,0))</f>
        <v>15</v>
      </c>
      <c r="D62" s="649">
        <f>INDEX(Table!I:I,MATCH(A62,Table!F:F,0))</f>
        <v>-36.049999999999997</v>
      </c>
      <c r="E62" s="605" t="str">
        <f t="shared" si="7"/>
        <v>Italy</v>
      </c>
      <c r="F62" s="606">
        <f>IF(M62="","",INDEX(Odds!C:C,MATCH(M62,Odds!G:G,0)))</f>
        <v>6</v>
      </c>
      <c r="G62" s="607">
        <f t="shared" si="8"/>
        <v>2.1</v>
      </c>
      <c r="H62" s="608" t="str">
        <f t="shared" si="3"/>
        <v>x</v>
      </c>
      <c r="I62" s="609">
        <f>IF(M62="",-10,INDEX(Results!T:T,MATCH(A62,Results!V:V,0)))</f>
        <v>-5.5</v>
      </c>
      <c r="J62" s="610">
        <f>IF(M62="","",INDEX(Results!AI:AI,MATCH(A62,Results!V:V,0)))</f>
        <v>16.800000000000004</v>
      </c>
      <c r="K62" s="348" t="str">
        <f>IF(INDEX(Table!Q:Q,MATCH(A62,Table!F:F,0))="N","N","Y")</f>
        <v>Y</v>
      </c>
      <c r="L62" s="347">
        <f>INDEX(Picks!AJ:AJ,MATCH(A62,Picks!AG:AG,0))</f>
        <v>33</v>
      </c>
      <c r="M62" s="407" t="s">
        <v>582</v>
      </c>
      <c r="N62" s="624" t="str">
        <f>INDEX(Odds!H:H,MATCH(M62,Odds!G:G,0))</f>
        <v>11/10</v>
      </c>
      <c r="O62" s="625">
        <f>INDEX(Odds!I:I,MATCH(M62,Odds!G:G,0))</f>
        <v>2.1</v>
      </c>
      <c r="P62" s="633">
        <f>INDEX(Odds!J:J,MATCH(M62,Odds!G:G,0))</f>
        <v>0</v>
      </c>
      <c r="Q62" s="627">
        <f t="shared" ref="Q62:Q94" si="9">O62*P62</f>
        <v>0</v>
      </c>
      <c r="R62" s="504"/>
      <c r="S62" s="58"/>
      <c r="U62" s="35" t="str">
        <f>IF(Odds!G62="","",Odds!G62)</f>
        <v>Fleetwood draw</v>
      </c>
      <c r="V62" s="36" t="str">
        <f>INDEX(Odds!H:H,MATCH(U62,Odds!G:G,0))</f>
        <v>5/2</v>
      </c>
      <c r="W62" s="40">
        <f t="shared" si="6"/>
        <v>0</v>
      </c>
      <c r="AB62" s="8">
        <f>INDEX(Odds!K:K,MATCH(M62,Odds!G:G,0))</f>
        <v>1</v>
      </c>
      <c r="AE62" s="507" t="str">
        <f>IF(R62="","",INDEX(Odds!H:H,MATCH(R62,Odds!G:G,0)))</f>
        <v/>
      </c>
      <c r="AF62" s="507" t="str">
        <f>IF(INDEX(Table!S:S,MATCH(A62,Table!F:F,0))="N","N","")</f>
        <v/>
      </c>
      <c r="AG62" s="58"/>
      <c r="AH62" s="58"/>
      <c r="AI62" s="405"/>
      <c r="AJ62" s="58"/>
    </row>
    <row r="63" spans="1:41">
      <c r="A63" s="611" t="str">
        <f>A62</f>
        <v>Graham Miller</v>
      </c>
      <c r="B63" s="611"/>
      <c r="C63" s="646"/>
      <c r="D63" s="650"/>
      <c r="E63" s="612" t="str">
        <f>IF(M63="","",M63)</f>
        <v>Albania</v>
      </c>
      <c r="F63" s="606">
        <f>IF(M63="","",INDEX(Odds!C:C,MATCH(M63,Odds!G:G,0)))</f>
        <v>7</v>
      </c>
      <c r="G63" s="613">
        <f>IF(M63="","",O63)</f>
        <v>1.5</v>
      </c>
      <c r="H63" s="614" t="str">
        <f>IF(M63="","",IF(P63=1,"√","x"))</f>
        <v>√</v>
      </c>
      <c r="I63" s="615"/>
      <c r="J63" s="616"/>
      <c r="K63" s="348">
        <f>IF(J62="",0,1)</f>
        <v>1</v>
      </c>
      <c r="L63" s="348"/>
      <c r="M63" s="407" t="s">
        <v>594</v>
      </c>
      <c r="N63" s="628" t="str">
        <f>INDEX(Odds!H:H,MATCH(M63,Odds!G:G,0))</f>
        <v>1/2</v>
      </c>
      <c r="O63" s="629">
        <f>INDEX(Odds!I:I,MATCH(M63,Odds!G:G,0))</f>
        <v>1.5</v>
      </c>
      <c r="P63" s="626">
        <f>INDEX(Odds!J:J,MATCH(M63,Odds!G:G,0))</f>
        <v>1</v>
      </c>
      <c r="Q63" s="627">
        <f t="shared" si="9"/>
        <v>1.5</v>
      </c>
      <c r="R63" s="504"/>
      <c r="S63" s="58"/>
      <c r="U63" s="35" t="str">
        <f>IF(Odds!G63="","",Odds!G63)</f>
        <v>Newport draw</v>
      </c>
      <c r="V63" s="36" t="str">
        <f>INDEX(Odds!H:H,MATCH(U63,Odds!G:G,0))</f>
        <v>12/5</v>
      </c>
      <c r="W63" s="40">
        <f t="shared" si="6"/>
        <v>0</v>
      </c>
      <c r="AB63" s="8">
        <f>INDEX(Odds!K:K,MATCH(M63,Odds!G:G,0))</f>
        <v>1</v>
      </c>
      <c r="AE63" s="507" t="str">
        <f>IF(R63="","",INDEX(Odds!H:H,MATCH(R63,Odds!G:G,0)))</f>
        <v/>
      </c>
      <c r="AF63" s="507" t="str">
        <f>IF(INDEX(Table!S:S,MATCH(A63,Table!F:F,0))="N","N","")</f>
        <v/>
      </c>
      <c r="AG63" s="58"/>
      <c r="AH63" s="58"/>
      <c r="AI63" s="405"/>
      <c r="AJ63" s="58"/>
    </row>
    <row r="64" spans="1:41" ht="13.5" thickBot="1">
      <c r="A64" s="617" t="str">
        <f>A62</f>
        <v>Graham Miller</v>
      </c>
      <c r="B64" s="617"/>
      <c r="C64" s="647"/>
      <c r="D64" s="651"/>
      <c r="E64" s="618" t="str">
        <f>IF(M64="","",M64)</f>
        <v>Bulgaria</v>
      </c>
      <c r="F64" s="619">
        <f>IF(M64="","",INDEX(Odds!C:C,MATCH(M64,Odds!G:G,0)))</f>
        <v>7</v>
      </c>
      <c r="G64" s="620">
        <f>IF(M64="","",O64)</f>
        <v>2.2000000000000002</v>
      </c>
      <c r="H64" s="614" t="str">
        <f>IF(M64="","",IF(P64=1,"√","x"))</f>
        <v>x</v>
      </c>
      <c r="I64" s="615"/>
      <c r="J64" s="616"/>
      <c r="K64" s="348"/>
      <c r="L64" s="348"/>
      <c r="M64" s="408" t="s">
        <v>596</v>
      </c>
      <c r="N64" s="630" t="str">
        <f>INDEX(Odds!H:H,MATCH(M64,Odds!G:G,0))</f>
        <v>6/5</v>
      </c>
      <c r="O64" s="631">
        <f>INDEX(Odds!I:I,MATCH(M64,Odds!G:G,0))</f>
        <v>2.2000000000000002</v>
      </c>
      <c r="P64" s="626">
        <f>INDEX(Odds!J:J,MATCH(M64,Odds!G:G,0))</f>
        <v>0</v>
      </c>
      <c r="Q64" s="632">
        <f t="shared" si="9"/>
        <v>0</v>
      </c>
      <c r="R64" s="505"/>
      <c r="S64" s="58"/>
      <c r="U64" s="35" t="str">
        <f>IF(Odds!G64="","",Odds!G64)</f>
        <v>Oldham draw</v>
      </c>
      <c r="V64" s="36" t="str">
        <f>INDEX(Odds!H:H,MATCH(U64,Odds!G:G,0))</f>
        <v>13/5</v>
      </c>
      <c r="W64" s="40">
        <f t="shared" si="6"/>
        <v>0</v>
      </c>
      <c r="AB64" s="8">
        <f>INDEX(Odds!K:K,MATCH(M64,Odds!G:G,0))</f>
        <v>1</v>
      </c>
      <c r="AE64" s="508" t="str">
        <f>IF(R64="","",INDEX(Odds!H:H,MATCH(R64,Odds!G:G,0)))</f>
        <v/>
      </c>
      <c r="AF64" s="508" t="str">
        <f>IF(INDEX(Table!S:S,MATCH(A64,Table!F:F,0))="N","N","")</f>
        <v/>
      </c>
      <c r="AG64" s="58"/>
      <c r="AH64" s="58"/>
      <c r="AI64" s="405"/>
      <c r="AJ64" s="58"/>
    </row>
    <row r="65" spans="1:36" ht="13.9" thickTop="1" thickBot="1">
      <c r="A65" s="604" t="str">
        <f>Results!B65</f>
        <v>Howard Bradley</v>
      </c>
      <c r="B65" s="604" t="str">
        <f>INDEX(Table!E:E,MATCH(A65,Table!F:F,0))</f>
        <v>A</v>
      </c>
      <c r="C65" s="645">
        <f>INDEX(Table!D:D,MATCH(A65,Table!F:F,0))</f>
        <v>2</v>
      </c>
      <c r="D65" s="649">
        <f>INDEX(Table!I:I,MATCH(A65,Table!F:F,0))</f>
        <v>1.8999999999999986</v>
      </c>
      <c r="E65" s="605" t="str">
        <f>IF(M65="","",M65)</f>
        <v>Slovakia</v>
      </c>
      <c r="F65" s="606">
        <f>IF(M65="","",INDEX(Odds!C:C,MATCH(M65,Odds!G:G,0)))</f>
        <v>7</v>
      </c>
      <c r="G65" s="607">
        <f>IF(M65="","",O65)</f>
        <v>1.25</v>
      </c>
      <c r="H65" s="608" t="str">
        <f>IF(M65="","",IF(P65=1,"√","x"))</f>
        <v>√</v>
      </c>
      <c r="I65" s="609">
        <f>IF(M65="",-10,INDEX(Results!T:T,MATCH(A65,Results!V:V,0)))</f>
        <v>-2.375</v>
      </c>
      <c r="J65" s="610">
        <f>IF(M65="","",INDEX(Results!AI:AI,MATCH(A65,Results!V:V,0)))</f>
        <v>5.2954545454545467</v>
      </c>
      <c r="K65" s="348" t="str">
        <f>IF(INDEX(Table!Q:Q,MATCH(A65,Table!F:F,0))="N","N","Y")</f>
        <v>Y</v>
      </c>
      <c r="L65" s="347">
        <f>INDEX(Picks!AJ:AJ,MATCH(A65,Picks!AG:AG,0))</f>
        <v>18</v>
      </c>
      <c r="M65" s="407" t="s">
        <v>610</v>
      </c>
      <c r="N65" s="624" t="str">
        <f>INDEX(Odds!H:H,MATCH(M65,Odds!G:G,0))</f>
        <v>1/4</v>
      </c>
      <c r="O65" s="625">
        <f>INDEX(Odds!I:I,MATCH(M65,Odds!G:G,0))</f>
        <v>1.25</v>
      </c>
      <c r="P65" s="633">
        <f>INDEX(Odds!J:J,MATCH(M65,Odds!G:G,0))</f>
        <v>1</v>
      </c>
      <c r="Q65" s="627">
        <f t="shared" si="9"/>
        <v>1.25</v>
      </c>
      <c r="R65" s="504"/>
      <c r="S65" s="58"/>
      <c r="U65" s="35" t="str">
        <f>IF(Odds!G65="","",Odds!G65)</f>
        <v>Rotherham draw</v>
      </c>
      <c r="V65" s="36" t="str">
        <f>INDEX(Odds!H:H,MATCH(U65,Odds!G:G,0))</f>
        <v>12/5</v>
      </c>
      <c r="W65" s="40">
        <f t="shared" si="6"/>
        <v>1</v>
      </c>
      <c r="AB65" s="8">
        <f>INDEX(Odds!K:K,MATCH(M65,Odds!G:G,0))</f>
        <v>1</v>
      </c>
      <c r="AE65" s="507" t="str">
        <f>IF(R65="","",INDEX(Odds!H:H,MATCH(R65,Odds!G:G,0)))</f>
        <v/>
      </c>
      <c r="AF65" s="507" t="str">
        <f>IF(INDEX(Table!S:S,MATCH(A65,Table!F:F,0))="N","N","")</f>
        <v/>
      </c>
      <c r="AG65" s="58"/>
      <c r="AH65" s="58"/>
      <c r="AI65" s="405"/>
      <c r="AJ65" s="58"/>
    </row>
    <row r="66" spans="1:36">
      <c r="A66" s="611" t="str">
        <f>A65</f>
        <v>Howard Bradley</v>
      </c>
      <c r="B66" s="611"/>
      <c r="C66" s="646"/>
      <c r="D66" s="650"/>
      <c r="E66" s="612" t="str">
        <f t="shared" si="7"/>
        <v>Austria</v>
      </c>
      <c r="F66" s="606">
        <f>IF(M66="","",INDEX(Odds!C:C,MATCH(M66,Odds!G:G,0)))</f>
        <v>1</v>
      </c>
      <c r="G66" s="613">
        <f t="shared" si="8"/>
        <v>1.5</v>
      </c>
      <c r="H66" s="614" t="str">
        <f t="shared" si="3"/>
        <v>√</v>
      </c>
      <c r="I66" s="615"/>
      <c r="J66" s="616"/>
      <c r="K66" s="348">
        <f>IF(J65="",0,1)</f>
        <v>1</v>
      </c>
      <c r="L66" s="348"/>
      <c r="M66" s="407" t="s">
        <v>623</v>
      </c>
      <c r="N66" s="628" t="str">
        <f>INDEX(Odds!H:H,MATCH(M66,Odds!G:G,0))</f>
        <v>1/2</v>
      </c>
      <c r="O66" s="629">
        <f>INDEX(Odds!I:I,MATCH(M66,Odds!G:G,0))</f>
        <v>1.5</v>
      </c>
      <c r="P66" s="626">
        <f>INDEX(Odds!J:J,MATCH(M66,Odds!G:G,0))</f>
        <v>1</v>
      </c>
      <c r="Q66" s="627">
        <f t="shared" si="9"/>
        <v>1.5</v>
      </c>
      <c r="R66" s="504"/>
      <c r="S66" s="58"/>
      <c r="U66" s="35" t="str">
        <f>IF(Odds!G66="","",Odds!G66)</f>
        <v>Shrewsbury draw</v>
      </c>
      <c r="V66" s="36" t="str">
        <f>INDEX(Odds!H:H,MATCH(U66,Odds!G:G,0))</f>
        <v>2/1</v>
      </c>
      <c r="W66" s="40">
        <f t="shared" si="6"/>
        <v>1</v>
      </c>
      <c r="AB66" s="8">
        <f>INDEX(Odds!K:K,MATCH(M66,Odds!G:G,0))</f>
        <v>1</v>
      </c>
      <c r="AE66" s="507" t="str">
        <f>IF(R66="","",INDEX(Odds!H:H,MATCH(R66,Odds!G:G,0)))</f>
        <v/>
      </c>
      <c r="AF66" s="507" t="str">
        <f>IF(INDEX(Table!S:S,MATCH(A66,Table!F:F,0))="N","N","")</f>
        <v/>
      </c>
      <c r="AG66" s="58"/>
      <c r="AH66" s="58"/>
      <c r="AI66" s="405"/>
      <c r="AJ66" s="58"/>
    </row>
    <row r="67" spans="1:36" ht="13.5" thickBot="1">
      <c r="A67" s="617" t="str">
        <f>A65</f>
        <v>Howard Bradley</v>
      </c>
      <c r="B67" s="617"/>
      <c r="C67" s="647"/>
      <c r="D67" s="651"/>
      <c r="E67" s="618" t="str">
        <f t="shared" si="7"/>
        <v>Germany</v>
      </c>
      <c r="F67" s="619">
        <f>IF(M67="","",INDEX(Odds!C:C,MATCH(M67,Odds!G:G,0)))</f>
        <v>1</v>
      </c>
      <c r="G67" s="620">
        <f t="shared" si="8"/>
        <v>1.3636363636363638</v>
      </c>
      <c r="H67" s="614" t="str">
        <f t="shared" ref="H67:H127" si="10">IF(M67="","",IF(P67=1,"√","x"))</f>
        <v>x</v>
      </c>
      <c r="I67" s="615"/>
      <c r="J67" s="616"/>
      <c r="K67" s="348"/>
      <c r="L67" s="348"/>
      <c r="M67" s="408" t="s">
        <v>627</v>
      </c>
      <c r="N67" s="630" t="str">
        <f>INDEX(Odds!H:H,MATCH(M67,Odds!G:G,0))</f>
        <v>4/11</v>
      </c>
      <c r="O67" s="631">
        <f>INDEX(Odds!I:I,MATCH(M67,Odds!G:G,0))</f>
        <v>1.3636363636363638</v>
      </c>
      <c r="P67" s="626">
        <f>INDEX(Odds!J:J,MATCH(M67,Odds!G:G,0))</f>
        <v>0</v>
      </c>
      <c r="Q67" s="632">
        <f t="shared" si="9"/>
        <v>0</v>
      </c>
      <c r="R67" s="505"/>
      <c r="S67" s="58"/>
      <c r="U67" s="35" t="str">
        <f>IF(Odds!G67="","",Odds!G67)</f>
        <v>Swindon draw</v>
      </c>
      <c r="V67" s="36" t="str">
        <f>INDEX(Odds!H:H,MATCH(U67,Odds!G:G,0))</f>
        <v>12/5</v>
      </c>
      <c r="W67" s="40">
        <f t="shared" si="6"/>
        <v>1</v>
      </c>
      <c r="AB67" s="8">
        <f>INDEX(Odds!K:K,MATCH(M67,Odds!G:G,0))</f>
        <v>1</v>
      </c>
      <c r="AE67" s="508" t="str">
        <f>IF(R67="","",INDEX(Odds!H:H,MATCH(R67,Odds!G:G,0)))</f>
        <v/>
      </c>
      <c r="AF67" s="508" t="str">
        <f>IF(INDEX(Table!S:S,MATCH(A67,Table!F:F,0))="N","N","")</f>
        <v/>
      </c>
      <c r="AG67" s="58"/>
      <c r="AH67" s="58"/>
      <c r="AI67" s="405"/>
      <c r="AJ67" s="58"/>
    </row>
    <row r="68" spans="1:36" ht="13.9" thickTop="1" thickBot="1">
      <c r="A68" s="604" t="str">
        <f>Results!B68</f>
        <v>Jack Walsh</v>
      </c>
      <c r="B68" s="604" t="str">
        <f>INDEX(Table!E:E,MATCH(A68,Table!F:F,0))</f>
        <v>B</v>
      </c>
      <c r="C68" s="645">
        <f>INDEX(Table!D:D,MATCH(A68,Table!F:F,0))</f>
        <v>9</v>
      </c>
      <c r="D68" s="649">
        <f>INDEX(Table!I:I,MATCH(A68,Table!F:F,0))</f>
        <v>-15.649090909090908</v>
      </c>
      <c r="E68" s="605" t="str">
        <f t="shared" si="7"/>
        <v>Altrincham</v>
      </c>
      <c r="F68" s="606">
        <f>IF(M68="","",INDEX(Odds!C:C,MATCH(M68,Odds!G:G,0)))</f>
        <v>1</v>
      </c>
      <c r="G68" s="607">
        <f t="shared" si="8"/>
        <v>2.2000000000000002</v>
      </c>
      <c r="H68" s="608" t="str">
        <f t="shared" si="10"/>
        <v>√</v>
      </c>
      <c r="I68" s="609">
        <f>IF(M68="",-10,INDEX(Results!T:T,MATCH(A68,Results!V:V,0)))</f>
        <v>-4.8</v>
      </c>
      <c r="J68" s="610">
        <f>IF(M68="","",INDEX(Results!AI:AI,MATCH(A68,Results!V:V,0)))</f>
        <v>22.338461538461541</v>
      </c>
      <c r="K68" s="348" t="str">
        <f>IF(INDEX(Table!Q:Q,MATCH(A68,Table!F:F,0))="N","N","Y")</f>
        <v>Y</v>
      </c>
      <c r="L68" s="347">
        <f>INDEX(Picks!AJ:AJ,MATCH(A68,Picks!AG:AG,0))</f>
        <v>23</v>
      </c>
      <c r="M68" s="407" t="s">
        <v>617</v>
      </c>
      <c r="N68" s="624" t="str">
        <f>INDEX(Odds!H:H,MATCH(M68,Odds!G:G,0))</f>
        <v>6/5</v>
      </c>
      <c r="O68" s="625">
        <f>INDEX(Odds!I:I,MATCH(M68,Odds!G:G,0))</f>
        <v>2.2000000000000002</v>
      </c>
      <c r="P68" s="633">
        <f>INDEX(Odds!J:J,MATCH(M68,Odds!G:G,0))</f>
        <v>1</v>
      </c>
      <c r="Q68" s="627">
        <f t="shared" si="9"/>
        <v>2.2000000000000002</v>
      </c>
      <c r="R68" s="504"/>
      <c r="S68" s="58"/>
      <c r="U68" s="35" t="str">
        <f>IF(Odds!G68="","",Odds!G68)</f>
        <v>Tranmere draw</v>
      </c>
      <c r="V68" s="36" t="str">
        <f>INDEX(Odds!H:H,MATCH(U68,Odds!G:G,0))</f>
        <v>21/10</v>
      </c>
      <c r="W68" s="40">
        <f t="shared" si="6"/>
        <v>1</v>
      </c>
      <c r="AB68" s="8">
        <f>INDEX(Odds!K:K,MATCH(M68,Odds!G:G,0))</f>
        <v>1</v>
      </c>
      <c r="AE68" s="507" t="str">
        <f>IF(R68="","",INDEX(Odds!H:H,MATCH(R68,Odds!G:G,0)))</f>
        <v/>
      </c>
      <c r="AF68" s="507" t="str">
        <f>IF(INDEX(Table!S:S,MATCH(A68,Table!F:F,0))="N","N","")</f>
        <v/>
      </c>
      <c r="AG68" s="58"/>
      <c r="AH68" s="58"/>
      <c r="AI68" s="405"/>
      <c r="AJ68" s="58"/>
    </row>
    <row r="69" spans="1:36">
      <c r="A69" s="611" t="str">
        <f>A68</f>
        <v>Jack Walsh</v>
      </c>
      <c r="B69" s="611"/>
      <c r="C69" s="646"/>
      <c r="D69" s="650"/>
      <c r="E69" s="612" t="str">
        <f t="shared" si="7"/>
        <v>Plymouth</v>
      </c>
      <c r="F69" s="606">
        <f>IF(M69="","",INDEX(Odds!C:C,MATCH(M69,Odds!G:G,0)))</f>
        <v>7</v>
      </c>
      <c r="G69" s="613">
        <f t="shared" si="8"/>
        <v>1.6153846153846154</v>
      </c>
      <c r="H69" s="614" t="str">
        <f t="shared" si="10"/>
        <v>x</v>
      </c>
      <c r="I69" s="615"/>
      <c r="J69" s="616"/>
      <c r="K69" s="348">
        <f>IF(J68="",0,1)</f>
        <v>1</v>
      </c>
      <c r="L69" s="348"/>
      <c r="M69" s="407" t="s">
        <v>554</v>
      </c>
      <c r="N69" s="628" t="str">
        <f>INDEX(Odds!H:H,MATCH(M69,Odds!G:G,0))</f>
        <v>8/13</v>
      </c>
      <c r="O69" s="629">
        <f>INDEX(Odds!I:I,MATCH(M69,Odds!G:G,0))</f>
        <v>1.6153846153846154</v>
      </c>
      <c r="P69" s="626">
        <f>INDEX(Odds!J:J,MATCH(M69,Odds!G:G,0))</f>
        <v>0</v>
      </c>
      <c r="Q69" s="627">
        <f t="shared" si="9"/>
        <v>0</v>
      </c>
      <c r="R69" s="504"/>
      <c r="S69" s="58"/>
      <c r="U69" s="35" t="str">
        <f>IF(Odds!G69="","",Odds!G69)</f>
        <v>York draw</v>
      </c>
      <c r="V69" s="36" t="str">
        <f>INDEX(Odds!H:H,MATCH(U69,Odds!G:G,0))</f>
        <v>17/5</v>
      </c>
      <c r="W69" s="40">
        <f t="shared" si="6"/>
        <v>0</v>
      </c>
      <c r="AB69" s="8">
        <f>INDEX(Odds!K:K,MATCH(M69,Odds!G:G,0))</f>
        <v>1</v>
      </c>
      <c r="AE69" s="507" t="str">
        <f>IF(R69="","",INDEX(Odds!H:H,MATCH(R69,Odds!G:G,0)))</f>
        <v/>
      </c>
      <c r="AF69" s="507" t="str">
        <f>IF(INDEX(Table!S:S,MATCH(A69,Table!F:F,0))="N","N","")</f>
        <v/>
      </c>
      <c r="AG69" s="58"/>
      <c r="AH69" s="58"/>
      <c r="AI69" s="405"/>
      <c r="AJ69" s="58"/>
    </row>
    <row r="70" spans="1:36" ht="13.5" thickBot="1">
      <c r="A70" s="617" t="str">
        <f>A68</f>
        <v>Jack Walsh</v>
      </c>
      <c r="B70" s="617"/>
      <c r="C70" s="647"/>
      <c r="D70" s="651"/>
      <c r="E70" s="618" t="str">
        <f t="shared" si="7"/>
        <v>Norway</v>
      </c>
      <c r="F70" s="619">
        <f>IF(M70="","",INDEX(Odds!C:C,MATCH(M70,Odds!G:G,0)))</f>
        <v>1</v>
      </c>
      <c r="G70" s="620">
        <f t="shared" si="8"/>
        <v>2.625</v>
      </c>
      <c r="H70" s="614" t="str">
        <f t="shared" si="10"/>
        <v>x</v>
      </c>
      <c r="I70" s="615"/>
      <c r="J70" s="616"/>
      <c r="K70" s="348"/>
      <c r="L70" s="348"/>
      <c r="M70" s="408" t="s">
        <v>635</v>
      </c>
      <c r="N70" s="630" t="str">
        <f>INDEX(Odds!H:H,MATCH(M70,Odds!G:G,0))</f>
        <v>13/8</v>
      </c>
      <c r="O70" s="631">
        <f>INDEX(Odds!I:I,MATCH(M70,Odds!G:G,0))</f>
        <v>2.625</v>
      </c>
      <c r="P70" s="626">
        <f>INDEX(Odds!J:J,MATCH(M70,Odds!G:G,0))</f>
        <v>0</v>
      </c>
      <c r="Q70" s="632">
        <f t="shared" si="9"/>
        <v>0</v>
      </c>
      <c r="R70" s="505"/>
      <c r="S70" s="58"/>
      <c r="U70" s="35" t="str">
        <f>IF(Odds!G70="","",Odds!G70)</f>
        <v>Albania draw</v>
      </c>
      <c r="V70" s="36" t="str">
        <f>INDEX(Odds!H:H,MATCH(U70,Odds!G:G,0))</f>
        <v>14/5</v>
      </c>
      <c r="W70" s="40">
        <f t="shared" si="6"/>
        <v>0</v>
      </c>
      <c r="AB70" s="8">
        <f>INDEX(Odds!K:K,MATCH(M70,Odds!G:G,0))</f>
        <v>1</v>
      </c>
      <c r="AE70" s="508" t="str">
        <f>IF(R70="","",INDEX(Odds!H:H,MATCH(R70,Odds!G:G,0)))</f>
        <v/>
      </c>
      <c r="AF70" s="508" t="str">
        <f>IF(INDEX(Table!S:S,MATCH(A70,Table!F:F,0))="N","N","")</f>
        <v/>
      </c>
      <c r="AG70" s="58"/>
      <c r="AH70" s="58"/>
      <c r="AI70" s="405"/>
      <c r="AJ70" s="58"/>
    </row>
    <row r="71" spans="1:36" ht="13.9" thickTop="1" thickBot="1">
      <c r="A71" s="604" t="str">
        <f>Results!B71</f>
        <v>Julie Dodd</v>
      </c>
      <c r="B71" s="604" t="str">
        <f>INDEX(Table!E:E,MATCH(A71,Table!F:F,0))</f>
        <v>C</v>
      </c>
      <c r="C71" s="645">
        <f>INDEX(Table!D:D,MATCH(A71,Table!F:F,0))</f>
        <v>7</v>
      </c>
      <c r="D71" s="649">
        <f>INDEX(Table!I:I,MATCH(A71,Table!F:F,0))</f>
        <v>-12.266477272727276</v>
      </c>
      <c r="E71" s="605" t="str">
        <f>IF(M71="","",M71)</f>
        <v>Fleetwood</v>
      </c>
      <c r="F71" s="606">
        <f>IF(M71="","",INDEX(Odds!C:C,MATCH(M71,Odds!G:G,0)))</f>
        <v>7</v>
      </c>
      <c r="G71" s="607">
        <f>IF(M71="","",O71)</f>
        <v>1.85</v>
      </c>
      <c r="H71" s="608" t="str">
        <f>IF(M71="","",IF(P71=1,"√","x"))</f>
        <v>x</v>
      </c>
      <c r="I71" s="609">
        <f>IF(M71="",-10,INDEX(Results!T:T,MATCH(A71,Results!V:V,0)))</f>
        <v>-5.6363636363636367</v>
      </c>
      <c r="J71" s="610">
        <f>IF(M71="","",INDEX(Results!AI:AI,MATCH(A71,Results!V:V,0)))</f>
        <v>12.545909090909092</v>
      </c>
      <c r="K71" s="348" t="str">
        <f>IF(INDEX(Table!Q:Q,MATCH(A71,Table!F:F,0))="N","N","Y")</f>
        <v>Y</v>
      </c>
      <c r="L71" s="347">
        <f>INDEX(Picks!AJ:AJ,MATCH(A71,Picks!AG:AG,0))</f>
        <v>35</v>
      </c>
      <c r="M71" s="407" t="s">
        <v>593</v>
      </c>
      <c r="N71" s="624" t="str">
        <f>INDEX(Odds!H:H,MATCH(M71,Odds!G:G,0))</f>
        <v>17/20</v>
      </c>
      <c r="O71" s="625">
        <f>INDEX(Odds!I:I,MATCH(M71,Odds!G:G,0))</f>
        <v>1.85</v>
      </c>
      <c r="P71" s="633">
        <f>INDEX(Odds!J:J,MATCH(M71,Odds!G:G,0))</f>
        <v>0</v>
      </c>
      <c r="Q71" s="627">
        <f t="shared" si="9"/>
        <v>0</v>
      </c>
      <c r="R71" s="504"/>
      <c r="S71" s="58"/>
      <c r="U71" s="35" t="str">
        <f>IF(Odds!G71="","",Odds!G71)</f>
        <v>Bulgaria draw</v>
      </c>
      <c r="V71" s="36" t="str">
        <f>INDEX(Odds!H:H,MATCH(U71,Odds!G:G,0))</f>
        <v>2/1</v>
      </c>
      <c r="W71" s="40">
        <f t="shared" si="6"/>
        <v>0</v>
      </c>
      <c r="AB71" s="8">
        <f>INDEX(Odds!K:K,MATCH(M71,Odds!G:G,0))</f>
        <v>1</v>
      </c>
      <c r="AE71" s="507" t="str">
        <f>IF(R71="","",INDEX(Odds!H:H,MATCH(R71,Odds!G:G,0)))</f>
        <v/>
      </c>
      <c r="AF71" s="507" t="str">
        <f>IF(INDEX(Table!S:S,MATCH(A71,Table!F:F,0))="N","N","")</f>
        <v/>
      </c>
      <c r="AG71" s="58"/>
      <c r="AH71" s="58"/>
      <c r="AI71" s="405"/>
      <c r="AJ71" s="58"/>
    </row>
    <row r="72" spans="1:36">
      <c r="A72" s="611" t="str">
        <f>A71</f>
        <v>Julie Dodd</v>
      </c>
      <c r="B72" s="611"/>
      <c r="C72" s="646"/>
      <c r="D72" s="650"/>
      <c r="E72" s="612" t="str">
        <f t="shared" si="7"/>
        <v>Swindon</v>
      </c>
      <c r="F72" s="606">
        <f>IF(M72="","",INDEX(Odds!C:C,MATCH(M72,Odds!G:G,0)))</f>
        <v>7</v>
      </c>
      <c r="G72" s="613">
        <f t="shared" si="8"/>
        <v>2.0499999999999998</v>
      </c>
      <c r="H72" s="614" t="str">
        <f t="shared" si="10"/>
        <v>x</v>
      </c>
      <c r="I72" s="615"/>
      <c r="J72" s="616"/>
      <c r="K72" s="348">
        <f>IF(J71="",0,1)</f>
        <v>1</v>
      </c>
      <c r="L72" s="348"/>
      <c r="M72" s="407" t="s">
        <v>571</v>
      </c>
      <c r="N72" s="628" t="str">
        <f>INDEX(Odds!H:H,MATCH(M72,Odds!G:G,0))</f>
        <v>21/20</v>
      </c>
      <c r="O72" s="629">
        <f>INDEX(Odds!I:I,MATCH(M72,Odds!G:G,0))</f>
        <v>2.0499999999999998</v>
      </c>
      <c r="P72" s="626">
        <f>INDEX(Odds!J:J,MATCH(M72,Odds!G:G,0))</f>
        <v>0</v>
      </c>
      <c r="Q72" s="627">
        <f t="shared" si="9"/>
        <v>0</v>
      </c>
      <c r="R72" s="504"/>
      <c r="S72" s="58"/>
      <c r="U72" s="35" t="str">
        <f>IF(Odds!G72="","",Odds!G72)</f>
        <v>Czech draw</v>
      </c>
      <c r="V72" s="36" t="str">
        <f>INDEX(Odds!H:H,MATCH(U72,Odds!G:G,0))</f>
        <v>23/10</v>
      </c>
      <c r="W72" s="40">
        <f t="shared" si="6"/>
        <v>0</v>
      </c>
      <c r="AB72" s="8">
        <f>INDEX(Odds!K:K,MATCH(M72,Odds!G:G,0))</f>
        <v>1</v>
      </c>
      <c r="AE72" s="507" t="str">
        <f>IF(R72="","",INDEX(Odds!H:H,MATCH(R72,Odds!G:G,0)))</f>
        <v/>
      </c>
      <c r="AF72" s="507" t="str">
        <f>IF(INDEX(Table!S:S,MATCH(A72,Table!F:F,0))="N","N","")</f>
        <v/>
      </c>
      <c r="AG72" s="58"/>
      <c r="AH72" s="58"/>
      <c r="AI72" s="405"/>
      <c r="AJ72" s="58"/>
    </row>
    <row r="73" spans="1:36" ht="13.5" thickBot="1">
      <c r="A73" s="617" t="str">
        <f>A71</f>
        <v>Julie Dodd</v>
      </c>
      <c r="B73" s="617"/>
      <c r="C73" s="647"/>
      <c r="D73" s="651"/>
      <c r="E73" s="618" t="str">
        <f t="shared" si="7"/>
        <v>Stockport</v>
      </c>
      <c r="F73" s="619">
        <f>IF(M73="","",INDEX(Odds!C:C,MATCH(M73,Odds!G:G,0)))</f>
        <v>7</v>
      </c>
      <c r="G73" s="620">
        <f t="shared" si="8"/>
        <v>1.3636363636363638</v>
      </c>
      <c r="H73" s="614" t="str">
        <f t="shared" si="10"/>
        <v>√</v>
      </c>
      <c r="I73" s="615"/>
      <c r="J73" s="616"/>
      <c r="K73" s="348"/>
      <c r="L73" s="348"/>
      <c r="M73" s="408" t="s">
        <v>645</v>
      </c>
      <c r="N73" s="630" t="str">
        <f>INDEX(Odds!H:H,MATCH(M73,Odds!G:G,0))</f>
        <v>4/11</v>
      </c>
      <c r="O73" s="631">
        <f>INDEX(Odds!I:I,MATCH(M73,Odds!G:G,0))</f>
        <v>1.3636363636363638</v>
      </c>
      <c r="P73" s="626">
        <f>INDEX(Odds!J:J,MATCH(M73,Odds!G:G,0))</f>
        <v>1</v>
      </c>
      <c r="Q73" s="632">
        <f t="shared" si="9"/>
        <v>1.3636363636363638</v>
      </c>
      <c r="R73" s="505"/>
      <c r="S73" s="58"/>
      <c r="U73" s="35" t="str">
        <f>IF(Odds!G73="","",Odds!G73)</f>
        <v>England draw</v>
      </c>
      <c r="V73" s="36" t="str">
        <f>INDEX(Odds!H:H,MATCH(U73,Odds!G:G,0))</f>
        <v>21/10</v>
      </c>
      <c r="W73" s="40">
        <f t="shared" si="6"/>
        <v>0</v>
      </c>
      <c r="AB73" s="8">
        <f>INDEX(Odds!K:K,MATCH(M73,Odds!G:G,0))</f>
        <v>1</v>
      </c>
      <c r="AE73" s="508" t="str">
        <f>IF(R73="","",INDEX(Odds!H:H,MATCH(R73,Odds!G:G,0)))</f>
        <v/>
      </c>
      <c r="AF73" s="508" t="str">
        <f>IF(INDEX(Table!S:S,MATCH(A73,Table!F:F,0))="N","N","")</f>
        <v/>
      </c>
      <c r="AG73" s="58"/>
      <c r="AH73" s="58"/>
      <c r="AI73" s="405"/>
      <c r="AJ73" s="58"/>
    </row>
    <row r="74" spans="1:36" ht="13.9" thickTop="1" thickBot="1">
      <c r="A74" s="604" t="str">
        <f>Results!B74</f>
        <v>Katy Savory</v>
      </c>
      <c r="B74" s="604" t="str">
        <f>INDEX(Table!E:E,MATCH(A74,Table!F:F,0))</f>
        <v>B</v>
      </c>
      <c r="C74" s="645">
        <f>INDEX(Table!D:D,MATCH(A74,Table!F:F,0))</f>
        <v>14</v>
      </c>
      <c r="D74" s="649">
        <f>INDEX(Table!I:I,MATCH(A74,Table!F:F,0))</f>
        <v>-26.416666666666664</v>
      </c>
      <c r="E74" s="605" t="str">
        <f t="shared" si="7"/>
        <v>Scotland</v>
      </c>
      <c r="F74" s="606">
        <f>IF(M74="","",INDEX(Odds!C:C,MATCH(M74,Odds!G:G,0)))</f>
        <v>7</v>
      </c>
      <c r="G74" s="607">
        <f t="shared" si="8"/>
        <v>2.7</v>
      </c>
      <c r="H74" s="608" t="str">
        <f t="shared" si="10"/>
        <v>x</v>
      </c>
      <c r="I74" s="609">
        <f>IF(M74="",-10,INDEX(Results!T:T,MATCH(A74,Results!V:V,0)))</f>
        <v>-7</v>
      </c>
      <c r="J74" s="610">
        <f>IF(M74="","",INDEX(Results!AI:AI,MATCH(A74,Results!V:V,0)))</f>
        <v>33.440000000000005</v>
      </c>
      <c r="K74" s="348" t="str">
        <f>IF(INDEX(Table!Q:Q,MATCH(A74,Table!F:F,0))="N","N","Y")</f>
        <v>Y</v>
      </c>
      <c r="L74" s="347">
        <f>INDEX(Picks!AJ:AJ,MATCH(A74,Picks!AG:AG,0))</f>
        <v>40</v>
      </c>
      <c r="M74" s="407" t="s">
        <v>613</v>
      </c>
      <c r="N74" s="624" t="str">
        <f>INDEX(Odds!H:H,MATCH(M74,Odds!G:G,0))</f>
        <v>17/10</v>
      </c>
      <c r="O74" s="625">
        <f>INDEX(Odds!I:I,MATCH(M74,Odds!G:G,0))</f>
        <v>2.7</v>
      </c>
      <c r="P74" s="633">
        <f>INDEX(Odds!J:J,MATCH(M74,Odds!G:G,0))</f>
        <v>0</v>
      </c>
      <c r="Q74" s="627">
        <f t="shared" si="9"/>
        <v>0</v>
      </c>
      <c r="R74" s="504"/>
      <c r="S74" s="58"/>
      <c r="U74" s="35" t="str">
        <f>IF(Odds!G74="","",Odds!G74)</f>
        <v>Faroe Islands draw</v>
      </c>
      <c r="V74" s="36" t="str">
        <f>INDEX(Odds!H:H,MATCH(U74,Odds!G:G,0))</f>
        <v>2/1</v>
      </c>
      <c r="W74" s="40">
        <f t="shared" si="6"/>
        <v>1</v>
      </c>
      <c r="AB74" s="8">
        <f>INDEX(Odds!K:K,MATCH(M74,Odds!G:G,0))</f>
        <v>1</v>
      </c>
      <c r="AE74" s="507" t="str">
        <f>IF(R74="","",INDEX(Odds!H:H,MATCH(R74,Odds!G:G,0)))</f>
        <v/>
      </c>
      <c r="AF74" s="507" t="str">
        <f>IF(INDEX(Table!S:S,MATCH(A74,Table!F:F,0))="N","N","")</f>
        <v/>
      </c>
      <c r="AG74" s="58"/>
      <c r="AH74" s="58"/>
      <c r="AI74" s="405"/>
      <c r="AJ74" s="58"/>
    </row>
    <row r="75" spans="1:36">
      <c r="A75" s="611" t="str">
        <f>A74</f>
        <v>Katy Savory</v>
      </c>
      <c r="B75" s="611"/>
      <c r="C75" s="646"/>
      <c r="D75" s="650"/>
      <c r="E75" s="612" t="str">
        <f t="shared" si="7"/>
        <v>Bulgaria</v>
      </c>
      <c r="F75" s="606">
        <f>IF(M75="","",INDEX(Odds!C:C,MATCH(M75,Odds!G:G,0)))</f>
        <v>7</v>
      </c>
      <c r="G75" s="613">
        <f t="shared" si="8"/>
        <v>2.2000000000000002</v>
      </c>
      <c r="H75" s="614" t="str">
        <f t="shared" si="10"/>
        <v>x</v>
      </c>
      <c r="I75" s="615"/>
      <c r="J75" s="616"/>
      <c r="K75" s="348">
        <f>IF(J74="",0,1)</f>
        <v>1</v>
      </c>
      <c r="L75" s="348"/>
      <c r="M75" s="407" t="s">
        <v>596</v>
      </c>
      <c r="N75" s="628" t="str">
        <f>INDEX(Odds!H:H,MATCH(M75,Odds!G:G,0))</f>
        <v>6/5</v>
      </c>
      <c r="O75" s="629">
        <f>INDEX(Odds!I:I,MATCH(M75,Odds!G:G,0))</f>
        <v>2.2000000000000002</v>
      </c>
      <c r="P75" s="626">
        <f>INDEX(Odds!J:J,MATCH(M75,Odds!G:G,0))</f>
        <v>0</v>
      </c>
      <c r="Q75" s="627">
        <f t="shared" si="9"/>
        <v>0</v>
      </c>
      <c r="R75" s="504"/>
      <c r="S75" s="58"/>
      <c r="U75" s="35" t="str">
        <f>IF(Odds!G75="","",Odds!G75)</f>
        <v>Iceland draw</v>
      </c>
      <c r="V75" s="36" t="str">
        <f>INDEX(Odds!H:H,MATCH(U75,Odds!G:G,0))</f>
        <v>4/1</v>
      </c>
      <c r="W75" s="40">
        <f t="shared" si="6"/>
        <v>1</v>
      </c>
      <c r="AB75" s="8">
        <f>INDEX(Odds!K:K,MATCH(M75,Odds!G:G,0))</f>
        <v>1</v>
      </c>
      <c r="AE75" s="507" t="str">
        <f>IF(R75="","",INDEX(Odds!H:H,MATCH(R75,Odds!G:G,0)))</f>
        <v/>
      </c>
      <c r="AF75" s="507" t="str">
        <f>IF(INDEX(Table!S:S,MATCH(A75,Table!F:F,0))="N","N","")</f>
        <v/>
      </c>
      <c r="AG75" s="58"/>
      <c r="AH75" s="58"/>
      <c r="AI75" s="405"/>
      <c r="AJ75" s="58"/>
    </row>
    <row r="76" spans="1:36" ht="13.5" thickBot="1">
      <c r="A76" s="617" t="str">
        <f>A74</f>
        <v>Katy Savory</v>
      </c>
      <c r="B76" s="617"/>
      <c r="C76" s="647"/>
      <c r="D76" s="651"/>
      <c r="E76" s="618" t="str">
        <f t="shared" si="7"/>
        <v>Shrewsbury</v>
      </c>
      <c r="F76" s="619">
        <f>IF(M76="","",INDEX(Odds!C:C,MATCH(M76,Odds!G:G,0)))</f>
        <v>7</v>
      </c>
      <c r="G76" s="620">
        <f t="shared" si="8"/>
        <v>2.5</v>
      </c>
      <c r="H76" s="614" t="str">
        <f t="shared" si="10"/>
        <v>x</v>
      </c>
      <c r="I76" s="615"/>
      <c r="J76" s="616"/>
      <c r="K76" s="348"/>
      <c r="L76" s="348"/>
      <c r="M76" s="408" t="s">
        <v>567</v>
      </c>
      <c r="N76" s="630" t="str">
        <f>INDEX(Odds!H:H,MATCH(M76,Odds!G:G,0))</f>
        <v>6/4</v>
      </c>
      <c r="O76" s="631">
        <f>INDEX(Odds!I:I,MATCH(M76,Odds!G:G,0))</f>
        <v>2.5</v>
      </c>
      <c r="P76" s="626">
        <f>INDEX(Odds!J:J,MATCH(M76,Odds!G:G,0))</f>
        <v>0</v>
      </c>
      <c r="Q76" s="632">
        <f t="shared" si="9"/>
        <v>0</v>
      </c>
      <c r="R76" s="505"/>
      <c r="S76" s="58"/>
      <c r="U76" s="35" t="str">
        <f>IF(Odds!G76="","",Odds!G76)</f>
        <v>Macedonia draw</v>
      </c>
      <c r="V76" s="36" t="str">
        <f>INDEX(Odds!H:H,MATCH(U76,Odds!G:G,0))</f>
        <v>7/2</v>
      </c>
      <c r="W76" s="40">
        <f t="shared" si="6"/>
        <v>0</v>
      </c>
      <c r="AB76" s="8">
        <f>INDEX(Odds!K:K,MATCH(M76,Odds!G:G,0))</f>
        <v>1</v>
      </c>
      <c r="AE76" s="508" t="str">
        <f>IF(R76="","",INDEX(Odds!H:H,MATCH(R76,Odds!G:G,0)))</f>
        <v/>
      </c>
      <c r="AF76" s="508" t="str">
        <f>IF(INDEX(Table!S:S,MATCH(A76,Table!F:F,0))="N","N","")</f>
        <v/>
      </c>
      <c r="AG76" s="58"/>
      <c r="AH76" s="58"/>
      <c r="AI76" s="405"/>
      <c r="AJ76" s="58"/>
    </row>
    <row r="77" spans="1:36" ht="13.9" thickTop="1" thickBot="1">
      <c r="A77" s="604" t="str">
        <f>Results!B77</f>
        <v>Kevin Carter</v>
      </c>
      <c r="B77" s="604" t="str">
        <f>INDEX(Table!E:E,MATCH(A77,Table!F:F,0))</f>
        <v>A</v>
      </c>
      <c r="C77" s="645">
        <f>INDEX(Table!D:D,MATCH(A77,Table!F:F,0))</f>
        <v>8</v>
      </c>
      <c r="D77" s="649">
        <f>INDEX(Table!I:I,MATCH(A77,Table!F:F,0))</f>
        <v>-16.982063492063489</v>
      </c>
      <c r="E77" s="605" t="str">
        <f t="shared" si="7"/>
        <v>Plymouth</v>
      </c>
      <c r="F77" s="606">
        <f>IF(M77="","",INDEX(Odds!C:C,MATCH(M77,Odds!G:G,0)))</f>
        <v>7</v>
      </c>
      <c r="G77" s="607">
        <f t="shared" si="8"/>
        <v>1.6153846153846154</v>
      </c>
      <c r="H77" s="608" t="str">
        <f t="shared" si="10"/>
        <v>x</v>
      </c>
      <c r="I77" s="609">
        <f>IF(M77="",-10,INDEX(Results!T:T,MATCH(A77,Results!V:V,0)))</f>
        <v>-5.35</v>
      </c>
      <c r="J77" s="610">
        <f>IF(M77="","",INDEX(Results!AI:AI,MATCH(A77,Results!V:V,0)))</f>
        <v>11.059615384615384</v>
      </c>
      <c r="K77" s="348" t="str">
        <f>IF(INDEX(Table!Q:Q,MATCH(A77,Table!F:F,0))="N","N","Y")</f>
        <v>Y</v>
      </c>
      <c r="L77" s="347">
        <f>INDEX(Picks!AJ:AJ,MATCH(A77,Picks!AG:AG,0))</f>
        <v>32</v>
      </c>
      <c r="M77" s="407" t="s">
        <v>554</v>
      </c>
      <c r="N77" s="624" t="str">
        <f>INDEX(Odds!H:H,MATCH(M77,Odds!G:G,0))</f>
        <v>8/13</v>
      </c>
      <c r="O77" s="625">
        <f>INDEX(Odds!I:I,MATCH(M77,Odds!G:G,0))</f>
        <v>1.6153846153846154</v>
      </c>
      <c r="P77" s="633">
        <f>INDEX(Odds!J:J,MATCH(M77,Odds!G:G,0))</f>
        <v>0</v>
      </c>
      <c r="Q77" s="627">
        <f t="shared" si="9"/>
        <v>0</v>
      </c>
      <c r="R77" s="504"/>
      <c r="S77" s="58"/>
      <c r="U77" s="35" t="str">
        <f>IF(Odds!G77="","",Odds!G77)</f>
        <v>San Marino draw</v>
      </c>
      <c r="V77" s="36" t="str">
        <f>INDEX(Odds!H:H,MATCH(U77,Odds!G:G,0))</f>
        <v>15/2</v>
      </c>
      <c r="W77" s="40">
        <f t="shared" si="6"/>
        <v>0</v>
      </c>
      <c r="AB77" s="8">
        <f>INDEX(Odds!K:K,MATCH(M77,Odds!G:G,0))</f>
        <v>1</v>
      </c>
      <c r="AE77" s="507" t="str">
        <f>IF(R77="","",INDEX(Odds!H:H,MATCH(R77,Odds!G:G,0)))</f>
        <v/>
      </c>
      <c r="AF77" s="507" t="str">
        <f>IF(INDEX(Table!S:S,MATCH(A77,Table!F:F,0))="N","N","")</f>
        <v/>
      </c>
      <c r="AG77" s="58"/>
      <c r="AH77" s="58"/>
      <c r="AI77" s="405"/>
      <c r="AJ77" s="58"/>
    </row>
    <row r="78" spans="1:36">
      <c r="A78" s="611" t="str">
        <f>A77</f>
        <v>Kevin Carter</v>
      </c>
      <c r="B78" s="611"/>
      <c r="C78" s="646"/>
      <c r="D78" s="650"/>
      <c r="E78" s="612" t="str">
        <f t="shared" si="7"/>
        <v>Denmark</v>
      </c>
      <c r="F78" s="606">
        <f>IF(M78="","",INDEX(Odds!C:C,MATCH(M78,Odds!G:G,0)))</f>
        <v>1</v>
      </c>
      <c r="G78" s="613">
        <f t="shared" si="8"/>
        <v>1.65</v>
      </c>
      <c r="H78" s="614" t="str">
        <f t="shared" si="10"/>
        <v>√</v>
      </c>
      <c r="I78" s="615"/>
      <c r="J78" s="616"/>
      <c r="K78" s="348">
        <f>IF(J77="",0,1)</f>
        <v>1</v>
      </c>
      <c r="L78" s="348"/>
      <c r="M78" s="407" t="s">
        <v>625</v>
      </c>
      <c r="N78" s="628" t="str">
        <f>INDEX(Odds!H:H,MATCH(M78,Odds!G:G,0))</f>
        <v>13/20</v>
      </c>
      <c r="O78" s="629">
        <f>INDEX(Odds!I:I,MATCH(M78,Odds!G:G,0))</f>
        <v>1.65</v>
      </c>
      <c r="P78" s="626">
        <f>INDEX(Odds!J:J,MATCH(M78,Odds!G:G,0))</f>
        <v>1</v>
      </c>
      <c r="Q78" s="627">
        <f t="shared" si="9"/>
        <v>1.65</v>
      </c>
      <c r="R78" s="504"/>
      <c r="S78" s="58"/>
      <c r="U78" s="35" t="str">
        <f>IF(Odds!G78="","",Odds!G78)</f>
        <v>Slovakia draw</v>
      </c>
      <c r="V78" s="36" t="str">
        <f>INDEX(Odds!H:H,MATCH(U78,Odds!G:G,0))</f>
        <v>4/1</v>
      </c>
      <c r="W78" s="40">
        <f t="shared" si="6"/>
        <v>0</v>
      </c>
      <c r="AB78" s="8">
        <f>INDEX(Odds!K:K,MATCH(M78,Odds!G:G,0))</f>
        <v>1</v>
      </c>
      <c r="AE78" s="507" t="str">
        <f>IF(R78="","",INDEX(Odds!H:H,MATCH(R78,Odds!G:G,0)))</f>
        <v/>
      </c>
      <c r="AF78" s="507" t="str">
        <f>IF(INDEX(Table!S:S,MATCH(A78,Table!F:F,0))="N","N","")</f>
        <v/>
      </c>
      <c r="AG78" s="58"/>
      <c r="AH78" s="58"/>
      <c r="AI78" s="405"/>
      <c r="AJ78" s="58"/>
    </row>
    <row r="79" spans="1:36" ht="13.5" thickBot="1">
      <c r="A79" s="617" t="str">
        <f>A77</f>
        <v>Kevin Carter</v>
      </c>
      <c r="B79" s="617"/>
      <c r="C79" s="647"/>
      <c r="D79" s="651"/>
      <c r="E79" s="618" t="str">
        <f t="shared" si="7"/>
        <v>Southend</v>
      </c>
      <c r="F79" s="619">
        <f>IF(M79="","",INDEX(Odds!C:C,MATCH(M79,Odds!G:G,0)))</f>
        <v>1</v>
      </c>
      <c r="G79" s="620">
        <f t="shared" si="8"/>
        <v>1.75</v>
      </c>
      <c r="H79" s="614" t="str">
        <f t="shared" si="10"/>
        <v>x</v>
      </c>
      <c r="I79" s="615"/>
      <c r="J79" s="616"/>
      <c r="K79" s="348"/>
      <c r="L79" s="348"/>
      <c r="M79" s="408" t="s">
        <v>621</v>
      </c>
      <c r="N79" s="630" t="str">
        <f>INDEX(Odds!H:H,MATCH(M79,Odds!G:G,0))</f>
        <v>3/4</v>
      </c>
      <c r="O79" s="631">
        <f>INDEX(Odds!I:I,MATCH(M79,Odds!G:G,0))</f>
        <v>1.75</v>
      </c>
      <c r="P79" s="626">
        <f>INDEX(Odds!J:J,MATCH(M79,Odds!G:G,0))</f>
        <v>0</v>
      </c>
      <c r="Q79" s="632">
        <f t="shared" si="9"/>
        <v>0</v>
      </c>
      <c r="R79" s="505"/>
      <c r="S79" s="58"/>
      <c r="U79" s="35" t="str">
        <f>IF(Odds!G79="","",Odds!G79)</f>
        <v>Slovenia draw</v>
      </c>
      <c r="V79" s="36" t="str">
        <f>INDEX(Odds!H:H,MATCH(U79,Odds!G:G,0))</f>
        <v>2/1</v>
      </c>
      <c r="W79" s="40">
        <f t="shared" si="6"/>
        <v>1</v>
      </c>
      <c r="AB79" s="8">
        <f>INDEX(Odds!K:K,MATCH(M79,Odds!G:G,0))</f>
        <v>1</v>
      </c>
      <c r="AE79" s="508" t="str">
        <f>IF(R79="","",INDEX(Odds!H:H,MATCH(R79,Odds!G:G,0)))</f>
        <v/>
      </c>
      <c r="AF79" s="508" t="str">
        <f>IF(INDEX(Table!S:S,MATCH(A79,Table!F:F,0))="N","N","")</f>
        <v/>
      </c>
      <c r="AG79" s="58"/>
      <c r="AH79" s="58"/>
      <c r="AI79" s="405"/>
      <c r="AJ79" s="58"/>
    </row>
    <row r="80" spans="1:36" ht="13.9" thickTop="1" thickBot="1">
      <c r="A80" s="604" t="str">
        <f>Results!B80</f>
        <v>Lennie Bow</v>
      </c>
      <c r="B80" s="604" t="str">
        <f>INDEX(Table!E:E,MATCH(A80,Table!F:F,0))</f>
        <v>A</v>
      </c>
      <c r="C80" s="645">
        <f>INDEX(Table!D:D,MATCH(A80,Table!F:F,0))</f>
        <v>10</v>
      </c>
      <c r="D80" s="649">
        <f>INDEX(Table!I:I,MATCH(A80,Table!F:F,0))</f>
        <v>-20.414797323888234</v>
      </c>
      <c r="E80" s="605" t="str">
        <f t="shared" si="7"/>
        <v>Georgia</v>
      </c>
      <c r="F80" s="606">
        <f>IF(M80="","",INDEX(Odds!C:C,MATCH(M80,Odds!G:G,0)))</f>
        <v>6</v>
      </c>
      <c r="G80" s="607">
        <f t="shared" si="8"/>
        <v>1.85</v>
      </c>
      <c r="H80" s="608" t="str">
        <f t="shared" si="10"/>
        <v>x</v>
      </c>
      <c r="I80" s="609">
        <f>IF(M80="",-10,INDEX(Results!T:T,MATCH(A80,Results!V:V,0)))</f>
        <v>-7</v>
      </c>
      <c r="J80" s="610">
        <f>IF(M80="","",INDEX(Results!AI:AI,MATCH(A80,Results!V:V,0)))</f>
        <v>12.498076923076923</v>
      </c>
      <c r="K80" s="348" t="str">
        <f>IF(INDEX(Table!Q:Q,MATCH(A80,Table!F:F,0))="N","N","Y")</f>
        <v>Y</v>
      </c>
      <c r="L80" s="347">
        <f>INDEX(Picks!AJ:AJ,MATCH(A80,Picks!AG:AG,0))</f>
        <v>40</v>
      </c>
      <c r="M80" s="407" t="s">
        <v>578</v>
      </c>
      <c r="N80" s="624" t="str">
        <f>INDEX(Odds!H:H,MATCH(M80,Odds!G:G,0))</f>
        <v>17/20</v>
      </c>
      <c r="O80" s="625">
        <f>INDEX(Odds!I:I,MATCH(M80,Odds!G:G,0))</f>
        <v>1.85</v>
      </c>
      <c r="P80" s="633">
        <f>INDEX(Odds!J:J,MATCH(M80,Odds!G:G,0))</f>
        <v>0</v>
      </c>
      <c r="Q80" s="627">
        <f t="shared" si="9"/>
        <v>0</v>
      </c>
      <c r="R80" s="504"/>
      <c r="S80" s="58"/>
      <c r="U80" s="35" t="str">
        <f>IF(Odds!G80="","",Odds!G80)</f>
        <v>Aldershot draw</v>
      </c>
      <c r="V80" s="36" t="str">
        <f>INDEX(Odds!H:H,MATCH(U80,Odds!G:G,0))</f>
        <v>5/2</v>
      </c>
      <c r="W80" s="40">
        <f t="shared" si="6"/>
        <v>0</v>
      </c>
      <c r="AB80" s="8">
        <f>INDEX(Odds!K:K,MATCH(M80,Odds!G:G,0))</f>
        <v>1</v>
      </c>
      <c r="AE80" s="507" t="str">
        <f>IF(R80="","",INDEX(Odds!H:H,MATCH(R80,Odds!G:G,0)))</f>
        <v/>
      </c>
      <c r="AF80" s="507" t="str">
        <f>IF(INDEX(Table!S:S,MATCH(A80,Table!F:F,0))="N","N","")</f>
        <v/>
      </c>
      <c r="AG80" s="58"/>
      <c r="AH80" s="58"/>
      <c r="AI80" s="405"/>
      <c r="AJ80" s="58"/>
    </row>
    <row r="81" spans="1:36">
      <c r="A81" s="611" t="str">
        <f>A80</f>
        <v>Lennie Bow</v>
      </c>
      <c r="B81" s="611"/>
      <c r="C81" s="646"/>
      <c r="D81" s="650"/>
      <c r="E81" s="612" t="str">
        <f t="shared" si="7"/>
        <v>Plymouth</v>
      </c>
      <c r="F81" s="606">
        <f>IF(M81="","",INDEX(Odds!C:C,MATCH(M81,Odds!G:G,0)))</f>
        <v>7</v>
      </c>
      <c r="G81" s="613">
        <f t="shared" si="8"/>
        <v>1.6153846153846154</v>
      </c>
      <c r="H81" s="614" t="str">
        <f t="shared" si="10"/>
        <v>x</v>
      </c>
      <c r="I81" s="615"/>
      <c r="J81" s="616"/>
      <c r="K81" s="348">
        <f>IF(J80="",0,1)</f>
        <v>1</v>
      </c>
      <c r="L81" s="348"/>
      <c r="M81" s="407" t="s">
        <v>554</v>
      </c>
      <c r="N81" s="628" t="str">
        <f>INDEX(Odds!H:H,MATCH(M81,Odds!G:G,0))</f>
        <v>8/13</v>
      </c>
      <c r="O81" s="629">
        <f>INDEX(Odds!I:I,MATCH(M81,Odds!G:G,0))</f>
        <v>1.6153846153846154</v>
      </c>
      <c r="P81" s="626">
        <f>INDEX(Odds!J:J,MATCH(M81,Odds!G:G,0))</f>
        <v>0</v>
      </c>
      <c r="Q81" s="627">
        <f t="shared" si="9"/>
        <v>0</v>
      </c>
      <c r="R81" s="504"/>
      <c r="S81" s="58"/>
      <c r="U81" s="35" t="str">
        <f>IF(Odds!G81="","",Odds!G81)</f>
        <v>Altrincham draw</v>
      </c>
      <c r="V81" s="36" t="str">
        <f>INDEX(Odds!H:H,MATCH(U81,Odds!G:G,0))</f>
        <v>23/10</v>
      </c>
      <c r="W81" s="40">
        <f t="shared" si="6"/>
        <v>0</v>
      </c>
      <c r="AB81" s="8">
        <f>INDEX(Odds!K:K,MATCH(M81,Odds!G:G,0))</f>
        <v>1</v>
      </c>
      <c r="AE81" s="507" t="str">
        <f>IF(R81="","",INDEX(Odds!H:H,MATCH(R81,Odds!G:G,0)))</f>
        <v/>
      </c>
      <c r="AF81" s="507" t="str">
        <f>IF(INDEX(Table!S:S,MATCH(A81,Table!F:F,0))="N","N","")</f>
        <v/>
      </c>
      <c r="AG81" s="58"/>
      <c r="AH81" s="58"/>
      <c r="AI81" s="405"/>
      <c r="AJ81" s="58"/>
    </row>
    <row r="82" spans="1:36" ht="13.5" thickBot="1">
      <c r="A82" s="617" t="str">
        <f>A80</f>
        <v>Lennie Bow</v>
      </c>
      <c r="B82" s="617"/>
      <c r="C82" s="647"/>
      <c r="D82" s="651"/>
      <c r="E82" s="618" t="str">
        <f t="shared" si="7"/>
        <v>Southend</v>
      </c>
      <c r="F82" s="619">
        <f>IF(M82="","",INDEX(Odds!C:C,MATCH(M82,Odds!G:G,0)))</f>
        <v>1</v>
      </c>
      <c r="G82" s="620">
        <f t="shared" si="8"/>
        <v>1.75</v>
      </c>
      <c r="H82" s="614" t="str">
        <f t="shared" si="10"/>
        <v>x</v>
      </c>
      <c r="I82" s="615"/>
      <c r="J82" s="616"/>
      <c r="K82" s="348"/>
      <c r="L82" s="348"/>
      <c r="M82" s="408" t="s">
        <v>621</v>
      </c>
      <c r="N82" s="630" t="str">
        <f>INDEX(Odds!H:H,MATCH(M82,Odds!G:G,0))</f>
        <v>3/4</v>
      </c>
      <c r="O82" s="631">
        <f>INDEX(Odds!I:I,MATCH(M82,Odds!G:G,0))</f>
        <v>1.75</v>
      </c>
      <c r="P82" s="626">
        <f>INDEX(Odds!J:J,MATCH(M82,Odds!G:G,0))</f>
        <v>0</v>
      </c>
      <c r="Q82" s="632">
        <f t="shared" si="9"/>
        <v>0</v>
      </c>
      <c r="R82" s="505"/>
      <c r="S82" s="58"/>
      <c r="U82" s="35" t="str">
        <f>IF(Odds!G82="","",Odds!G82)</f>
        <v>Scunthorpe draw</v>
      </c>
      <c r="V82" s="36" t="str">
        <f>INDEX(Odds!H:H,MATCH(U82,Odds!G:G,0))</f>
        <v>12/5</v>
      </c>
      <c r="W82" s="40">
        <f t="shared" si="6"/>
        <v>0</v>
      </c>
      <c r="AB82" s="8">
        <f>INDEX(Odds!K:K,MATCH(M82,Odds!G:G,0))</f>
        <v>1</v>
      </c>
      <c r="AE82" s="508" t="str">
        <f>IF(R82="","",INDEX(Odds!H:H,MATCH(R82,Odds!G:G,0)))</f>
        <v/>
      </c>
      <c r="AF82" s="508" t="str">
        <f>IF(INDEX(Table!S:S,MATCH(A82,Table!F:F,0))="N","N","")</f>
        <v/>
      </c>
      <c r="AG82" s="58"/>
      <c r="AH82" s="58"/>
      <c r="AI82" s="405"/>
      <c r="AJ82" s="58"/>
    </row>
    <row r="83" spans="1:36" ht="13.9" thickTop="1" thickBot="1">
      <c r="A83" s="604" t="str">
        <f>Results!B83</f>
        <v>Mark Bunn</v>
      </c>
      <c r="B83" s="604" t="str">
        <f>INDEX(Table!E:E,MATCH(A83,Table!F:F,0))</f>
        <v>A</v>
      </c>
      <c r="C83" s="645">
        <f>INDEX(Table!D:D,MATCH(A83,Table!F:F,0))</f>
        <v>15</v>
      </c>
      <c r="D83" s="649">
        <f>INDEX(Table!I:I,MATCH(A83,Table!F:F,0))</f>
        <v>-32.550000000000004</v>
      </c>
      <c r="E83" s="605" t="str">
        <f t="shared" si="7"/>
        <v>Crewe</v>
      </c>
      <c r="F83" s="606">
        <f>IF(M83="","",INDEX(Odds!C:C,MATCH(M83,Odds!G:G,0)))</f>
        <v>7</v>
      </c>
      <c r="G83" s="607">
        <f t="shared" si="8"/>
        <v>3.1</v>
      </c>
      <c r="H83" s="608" t="str">
        <f t="shared" si="10"/>
        <v>x</v>
      </c>
      <c r="I83" s="609">
        <f>IF(M83="",-10,INDEX(Results!T:T,MATCH(A83,Results!V:V,0)))</f>
        <v>-4.5999999999999996</v>
      </c>
      <c r="J83" s="610">
        <f>IF(M83="","",INDEX(Results!AI:AI,MATCH(A83,Results!V:V,0)))</f>
        <v>34.516999999999996</v>
      </c>
      <c r="K83" s="348" t="str">
        <f>IF(INDEX(Table!Q:Q,MATCH(A83,Table!F:F,0))="N","N","Y")</f>
        <v>Y</v>
      </c>
      <c r="L83" s="347">
        <f>INDEX(Picks!AJ:AJ,MATCH(A83,Picks!AG:AG,0))</f>
        <v>20</v>
      </c>
      <c r="M83" s="407" t="s">
        <v>531</v>
      </c>
      <c r="N83" s="624" t="str">
        <f>INDEX(Odds!H:H,MATCH(M83,Odds!G:G,0))</f>
        <v>21/10</v>
      </c>
      <c r="O83" s="625">
        <f>INDEX(Odds!I:I,MATCH(M83,Odds!G:G,0))</f>
        <v>3.1</v>
      </c>
      <c r="P83" s="633">
        <f>INDEX(Odds!J:J,MATCH(M83,Odds!G:G,0))</f>
        <v>0</v>
      </c>
      <c r="Q83" s="627">
        <f t="shared" si="9"/>
        <v>0</v>
      </c>
      <c r="R83" s="504"/>
      <c r="S83" s="58"/>
      <c r="U83" s="35" t="str">
        <f>IF(Odds!G83="","",Odds!G83)</f>
        <v>Southend draw</v>
      </c>
      <c r="V83" s="36" t="str">
        <f>INDEX(Odds!H:H,MATCH(U83,Odds!G:G,0))</f>
        <v>13/5</v>
      </c>
      <c r="W83" s="40">
        <f t="shared" si="6"/>
        <v>0</v>
      </c>
      <c r="AB83" s="8">
        <f>INDEX(Odds!K:K,MATCH(M83,Odds!G:G,0))</f>
        <v>1</v>
      </c>
      <c r="AE83" s="507" t="str">
        <f>IF(R83="","",INDEX(Odds!H:H,MATCH(R83,Odds!G:G,0)))</f>
        <v/>
      </c>
      <c r="AF83" s="507" t="str">
        <f>IF(INDEX(Table!S:S,MATCH(A83,Table!F:F,0))="N","N","")</f>
        <v/>
      </c>
      <c r="AG83" s="58"/>
      <c r="AH83" s="58"/>
      <c r="AI83" s="405"/>
      <c r="AJ83" s="58"/>
    </row>
    <row r="84" spans="1:36">
      <c r="A84" s="611" t="str">
        <f>A83</f>
        <v>Mark Bunn</v>
      </c>
      <c r="B84" s="611"/>
      <c r="C84" s="646"/>
      <c r="D84" s="650"/>
      <c r="E84" s="612" t="str">
        <f t="shared" si="7"/>
        <v>Swindon</v>
      </c>
      <c r="F84" s="606">
        <f>IF(M84="","",INDEX(Odds!C:C,MATCH(M84,Odds!G:G,0)))</f>
        <v>7</v>
      </c>
      <c r="G84" s="613">
        <f t="shared" si="8"/>
        <v>2.0499999999999998</v>
      </c>
      <c r="H84" s="614" t="str">
        <f t="shared" si="10"/>
        <v>x</v>
      </c>
      <c r="I84" s="615"/>
      <c r="J84" s="616"/>
      <c r="K84" s="348">
        <f>IF(J83="",0,1)</f>
        <v>1</v>
      </c>
      <c r="L84" s="348"/>
      <c r="M84" s="407" t="s">
        <v>571</v>
      </c>
      <c r="N84" s="628" t="str">
        <f>INDEX(Odds!H:H,MATCH(M84,Odds!G:G,0))</f>
        <v>21/20</v>
      </c>
      <c r="O84" s="629">
        <f>INDEX(Odds!I:I,MATCH(M84,Odds!G:G,0))</f>
        <v>2.0499999999999998</v>
      </c>
      <c r="P84" s="626">
        <f>INDEX(Odds!J:J,MATCH(M84,Odds!G:G,0))</f>
        <v>0</v>
      </c>
      <c r="Q84" s="627">
        <f t="shared" si="9"/>
        <v>0</v>
      </c>
      <c r="R84" s="504"/>
      <c r="S84" s="58"/>
      <c r="U84" s="35" t="str">
        <f>IF(Odds!G84="","",Odds!G84)</f>
        <v>Austria draw</v>
      </c>
      <c r="V84" s="36" t="str">
        <f>INDEX(Odds!H:H,MATCH(U84,Odds!G:G,0))</f>
        <v>3/1</v>
      </c>
      <c r="W84" s="40">
        <f t="shared" si="6"/>
        <v>0</v>
      </c>
      <c r="AB84" s="8">
        <f>INDEX(Odds!K:K,MATCH(M84,Odds!G:G,0))</f>
        <v>1</v>
      </c>
      <c r="AE84" s="507" t="str">
        <f>IF(R84="","",INDEX(Odds!H:H,MATCH(R84,Odds!G:G,0)))</f>
        <v/>
      </c>
      <c r="AF84" s="507" t="str">
        <f>IF(INDEX(Table!S:S,MATCH(A84,Table!F:F,0))="N","N","")</f>
        <v/>
      </c>
      <c r="AG84" s="58"/>
      <c r="AH84" s="58"/>
      <c r="AI84" s="405"/>
      <c r="AJ84" s="58"/>
    </row>
    <row r="85" spans="1:36" ht="13.5" thickBot="1">
      <c r="A85" s="617" t="str">
        <f>A83</f>
        <v>Mark Bunn</v>
      </c>
      <c r="B85" s="617"/>
      <c r="C85" s="647"/>
      <c r="D85" s="651"/>
      <c r="E85" s="618" t="str">
        <f t="shared" si="7"/>
        <v>Aldershot</v>
      </c>
      <c r="F85" s="619">
        <f>IF(M85="","",INDEX(Odds!C:C,MATCH(M85,Odds!G:G,0)))</f>
        <v>1</v>
      </c>
      <c r="G85" s="620">
        <f t="shared" si="8"/>
        <v>2.4</v>
      </c>
      <c r="H85" s="614" t="str">
        <f t="shared" si="10"/>
        <v>√</v>
      </c>
      <c r="I85" s="615"/>
      <c r="J85" s="616"/>
      <c r="K85" s="348"/>
      <c r="L85" s="348"/>
      <c r="M85" s="408" t="s">
        <v>615</v>
      </c>
      <c r="N85" s="630" t="str">
        <f>INDEX(Odds!H:H,MATCH(M85,Odds!G:G,0))</f>
        <v>7/5</v>
      </c>
      <c r="O85" s="631">
        <f>INDEX(Odds!I:I,MATCH(M85,Odds!G:G,0))</f>
        <v>2.4</v>
      </c>
      <c r="P85" s="626">
        <f>INDEX(Odds!J:J,MATCH(M85,Odds!G:G,0))</f>
        <v>1</v>
      </c>
      <c r="Q85" s="632">
        <f t="shared" si="9"/>
        <v>2.4</v>
      </c>
      <c r="R85" s="505"/>
      <c r="S85" s="58"/>
      <c r="U85" s="35" t="str">
        <f>IF(Odds!G85="","",Odds!G85)</f>
        <v>Denmark draw</v>
      </c>
      <c r="V85" s="36" t="str">
        <f>INDEX(Odds!H:H,MATCH(U85,Odds!G:G,0))</f>
        <v>27/10</v>
      </c>
      <c r="W85" s="40">
        <f t="shared" si="6"/>
        <v>0</v>
      </c>
      <c r="AB85" s="8">
        <f>INDEX(Odds!K:K,MATCH(M85,Odds!G:G,0))</f>
        <v>1</v>
      </c>
      <c r="AE85" s="508" t="str">
        <f>IF(R85="","",INDEX(Odds!H:H,MATCH(R85,Odds!G:G,0)))</f>
        <v/>
      </c>
      <c r="AF85" s="508" t="str">
        <f>IF(INDEX(Table!S:S,MATCH(A85,Table!F:F,0))="N","N","")</f>
        <v/>
      </c>
      <c r="AG85" s="58"/>
      <c r="AH85" s="58"/>
      <c r="AI85" s="405"/>
      <c r="AJ85" s="58"/>
    </row>
    <row r="86" spans="1:36" ht="13.9" thickTop="1" thickBot="1">
      <c r="A86" s="604" t="str">
        <f>Results!B86</f>
        <v>Mark Saunders</v>
      </c>
      <c r="B86" s="604" t="str">
        <f>INDEX(Table!E:E,MATCH(A86,Table!F:F,0))</f>
        <v>B</v>
      </c>
      <c r="C86" s="645">
        <f>INDEX(Table!D:D,MATCH(A86,Table!F:F,0))</f>
        <v>5</v>
      </c>
      <c r="D86" s="649">
        <f>INDEX(Table!I:I,MATCH(A86,Table!F:F,0))</f>
        <v>-9.7723214285714306</v>
      </c>
      <c r="E86" s="605" t="str">
        <f t="shared" si="7"/>
        <v>Ireland</v>
      </c>
      <c r="F86" s="606">
        <f>IF(M86="","",INDEX(Odds!C:C,MATCH(M86,Odds!G:G,0)))</f>
        <v>1</v>
      </c>
      <c r="G86" s="607">
        <f t="shared" si="8"/>
        <v>2.625</v>
      </c>
      <c r="H86" s="608" t="str">
        <f t="shared" si="10"/>
        <v>√</v>
      </c>
      <c r="I86" s="609">
        <f>IF(M86="",-10,INDEX(Results!T:T,MATCH(A86,Results!V:V,0)))</f>
        <v>14.65625</v>
      </c>
      <c r="J86" s="610">
        <f>IF(M86="","",INDEX(Results!AI:AI,MATCH(A86,Results!V:V,0)))</f>
        <v>14.65625</v>
      </c>
      <c r="K86" s="348" t="str">
        <f>IF(INDEX(Table!Q:Q,MATCH(A86,Table!F:F,0))="N","N","Y")</f>
        <v>Y</v>
      </c>
      <c r="L86" s="347">
        <f>INDEX(Picks!AJ:AJ,MATCH(A86,Picks!AG:AG,0))</f>
        <v>3</v>
      </c>
      <c r="M86" s="407" t="s">
        <v>632</v>
      </c>
      <c r="N86" s="624" t="str">
        <f>INDEX(Odds!H:H,MATCH(M86,Odds!G:G,0))</f>
        <v>13/8</v>
      </c>
      <c r="O86" s="625">
        <f>INDEX(Odds!I:I,MATCH(M86,Odds!G:G,0))</f>
        <v>2.625</v>
      </c>
      <c r="P86" s="633">
        <f>INDEX(Odds!J:J,MATCH(M86,Odds!G:G,0))</f>
        <v>1</v>
      </c>
      <c r="Q86" s="627">
        <f t="shared" si="9"/>
        <v>2.625</v>
      </c>
      <c r="R86" s="504"/>
      <c r="S86" s="58"/>
      <c r="U86" s="35" t="str">
        <f>IF(Odds!G86="","",Odds!G86)</f>
        <v>Germany draw</v>
      </c>
      <c r="V86" s="36" t="str">
        <f>INDEX(Odds!H:H,MATCH(U86,Odds!G:G,0))</f>
        <v>19/5</v>
      </c>
      <c r="W86" s="40">
        <f t="shared" si="6"/>
        <v>0</v>
      </c>
      <c r="AB86" s="8">
        <f>INDEX(Odds!K:K,MATCH(M86,Odds!G:G,0))</f>
        <v>1</v>
      </c>
      <c r="AE86" s="507" t="str">
        <f>IF(R86="","",INDEX(Odds!H:H,MATCH(R86,Odds!G:G,0)))</f>
        <v/>
      </c>
      <c r="AF86" s="507" t="str">
        <f>IF(INDEX(Table!S:S,MATCH(A86,Table!F:F,0))="N","N","")</f>
        <v/>
      </c>
      <c r="AG86" s="58"/>
      <c r="AH86" s="58"/>
      <c r="AI86" s="405"/>
      <c r="AJ86" s="58"/>
    </row>
    <row r="87" spans="1:36">
      <c r="A87" s="611" t="str">
        <f>A86</f>
        <v>Mark Saunders</v>
      </c>
      <c r="B87" s="611"/>
      <c r="C87" s="646"/>
      <c r="D87" s="650"/>
      <c r="E87" s="612" t="str">
        <f t="shared" si="7"/>
        <v>York</v>
      </c>
      <c r="F87" s="606">
        <f>IF(M87="","",INDEX(Odds!C:C,MATCH(M87,Odds!G:G,0)))</f>
        <v>7</v>
      </c>
      <c r="G87" s="613">
        <f t="shared" si="8"/>
        <v>1.5</v>
      </c>
      <c r="H87" s="614" t="str">
        <f t="shared" si="10"/>
        <v>√</v>
      </c>
      <c r="I87" s="615"/>
      <c r="J87" s="616"/>
      <c r="K87" s="348">
        <f>IF(J86="",0,1)</f>
        <v>1</v>
      </c>
      <c r="L87" s="348"/>
      <c r="M87" s="407" t="s">
        <v>570</v>
      </c>
      <c r="N87" s="628" t="str">
        <f>INDEX(Odds!H:H,MATCH(M87,Odds!G:G,0))</f>
        <v>1/2</v>
      </c>
      <c r="O87" s="629">
        <f>INDEX(Odds!I:I,MATCH(M87,Odds!G:G,0))</f>
        <v>1.5</v>
      </c>
      <c r="P87" s="626">
        <f>INDEX(Odds!J:J,MATCH(M87,Odds!G:G,0))</f>
        <v>1</v>
      </c>
      <c r="Q87" s="627">
        <f t="shared" si="9"/>
        <v>1.5</v>
      </c>
      <c r="R87" s="504"/>
      <c r="S87" s="58"/>
      <c r="U87" s="35" t="str">
        <f>IF(Odds!G87="","",Odds!G87)</f>
        <v>Gibraltar draw</v>
      </c>
      <c r="V87" s="36" t="str">
        <f>INDEX(Odds!H:H,MATCH(U87,Odds!G:G,0))</f>
        <v>23/12</v>
      </c>
      <c r="W87" s="40">
        <f t="shared" si="6"/>
        <v>1</v>
      </c>
      <c r="AB87" s="8">
        <f>INDEX(Odds!K:K,MATCH(M87,Odds!G:G,0))</f>
        <v>1</v>
      </c>
      <c r="AE87" s="507" t="str">
        <f>IF(R87="","",INDEX(Odds!H:H,MATCH(R87,Odds!G:G,0)))</f>
        <v/>
      </c>
      <c r="AF87" s="507" t="str">
        <f>IF(INDEX(Table!S:S,MATCH(A87,Table!F:F,0))="N","N","")</f>
        <v/>
      </c>
      <c r="AG87" s="58"/>
      <c r="AH87" s="58"/>
      <c r="AI87" s="405"/>
      <c r="AJ87" s="58"/>
    </row>
    <row r="88" spans="1:36" ht="13.5" thickBot="1">
      <c r="A88" s="617" t="str">
        <f>A86</f>
        <v>Mark Saunders</v>
      </c>
      <c r="B88" s="617"/>
      <c r="C88" s="647"/>
      <c r="D88" s="651"/>
      <c r="E88" s="618" t="str">
        <f t="shared" si="7"/>
        <v>Sweden</v>
      </c>
      <c r="F88" s="619">
        <f>IF(M88="","",INDEX(Odds!C:C,MATCH(M88,Odds!G:G,0)))</f>
        <v>6</v>
      </c>
      <c r="G88" s="620">
        <f t="shared" si="8"/>
        <v>1.5</v>
      </c>
      <c r="H88" s="614" t="str">
        <f t="shared" si="10"/>
        <v>√</v>
      </c>
      <c r="I88" s="615"/>
      <c r="J88" s="616"/>
      <c r="K88" s="348"/>
      <c r="L88" s="348"/>
      <c r="M88" s="408" t="s">
        <v>588</v>
      </c>
      <c r="N88" s="630" t="str">
        <f>INDEX(Odds!H:H,MATCH(M88,Odds!G:G,0))</f>
        <v>1/2</v>
      </c>
      <c r="O88" s="631">
        <f>INDEX(Odds!I:I,MATCH(M88,Odds!G:G,0))</f>
        <v>1.5</v>
      </c>
      <c r="P88" s="626">
        <f>INDEX(Odds!J:J,MATCH(M88,Odds!G:G,0))</f>
        <v>1</v>
      </c>
      <c r="Q88" s="632">
        <f t="shared" si="9"/>
        <v>1.5</v>
      </c>
      <c r="R88" s="505"/>
      <c r="S88" s="58"/>
      <c r="U88" s="35" t="str">
        <f>IF(Odds!G88="","",Odds!G88)</f>
        <v>Israel draw</v>
      </c>
      <c r="V88" s="36" t="str">
        <f>INDEX(Odds!H:H,MATCH(U88,Odds!G:G,0))</f>
        <v>21/10</v>
      </c>
      <c r="W88" s="40">
        <f t="shared" si="6"/>
        <v>0</v>
      </c>
      <c r="AB88" s="8">
        <f>INDEX(Odds!K:K,MATCH(M88,Odds!G:G,0))</f>
        <v>1</v>
      </c>
      <c r="AE88" s="508" t="str">
        <f>IF(R88="","",INDEX(Odds!H:H,MATCH(R88,Odds!G:G,0)))</f>
        <v/>
      </c>
      <c r="AF88" s="508" t="str">
        <f>IF(INDEX(Table!S:S,MATCH(A88,Table!F:F,0))="N","N","")</f>
        <v/>
      </c>
      <c r="AG88" s="58"/>
      <c r="AH88" s="58"/>
      <c r="AI88" s="405"/>
      <c r="AJ88" s="58"/>
    </row>
    <row r="89" spans="1:36" ht="13.9" thickTop="1" thickBot="1">
      <c r="A89" s="604" t="str">
        <f>Results!B89</f>
        <v>Martin Molyneux</v>
      </c>
      <c r="B89" s="604" t="str">
        <f>INDEX(Table!E:E,MATCH(A89,Table!F:F,0))</f>
        <v>C</v>
      </c>
      <c r="C89" s="645">
        <f>INDEX(Table!D:D,MATCH(A89,Table!F:F,0))</f>
        <v>12</v>
      </c>
      <c r="D89" s="649">
        <f>INDEX(Table!I:I,MATCH(A89,Table!F:F,0))</f>
        <v>-19.4025</v>
      </c>
      <c r="E89" s="605" t="str">
        <f t="shared" si="7"/>
        <v/>
      </c>
      <c r="F89" s="606" t="str">
        <f>IF(M89="","",INDEX(Odds!C:C,MATCH(M89,Odds!G:G,0)))</f>
        <v/>
      </c>
      <c r="G89" s="607" t="str">
        <f t="shared" si="8"/>
        <v/>
      </c>
      <c r="H89" s="608" t="str">
        <f t="shared" si="10"/>
        <v/>
      </c>
      <c r="I89" s="609">
        <f>IF(M89="",-10,INDEX(Results!T:T,MATCH(A89,Results!V:V,0)))</f>
        <v>-10</v>
      </c>
      <c r="J89" s="610" t="str">
        <f>IF(M89="","",INDEX(Results!AI:AI,MATCH(A89,Results!V:V,0)))</f>
        <v/>
      </c>
      <c r="K89" s="348" t="str">
        <f>IF(INDEX(Table!Q:Q,MATCH(A89,Table!F:F,0))="N","N","Y")</f>
        <v>Y</v>
      </c>
      <c r="L89" s="347" t="str">
        <f>INDEX(Picks!AJ:AJ,MATCH(A89,Picks!AG:AG,0))</f>
        <v/>
      </c>
      <c r="M89" s="407"/>
      <c r="N89" s="624" t="e">
        <f>INDEX(Odds!H:H,MATCH(M89,Odds!G:G,0))</f>
        <v>#N/A</v>
      </c>
      <c r="O89" s="625" t="e">
        <f>INDEX(Odds!I:I,MATCH(M89,Odds!G:G,0))</f>
        <v>#N/A</v>
      </c>
      <c r="P89" s="633" t="e">
        <f>INDEX(Odds!J:J,MATCH(M89,Odds!G:G,0))</f>
        <v>#N/A</v>
      </c>
      <c r="Q89" s="627" t="e">
        <f t="shared" si="9"/>
        <v>#N/A</v>
      </c>
      <c r="R89" s="504"/>
      <c r="S89" s="58"/>
      <c r="U89" s="35" t="str">
        <f>IF(Odds!G89="","",Odds!G89)</f>
        <v>Lithuania draw</v>
      </c>
      <c r="V89" s="36" t="str">
        <f>INDEX(Odds!H:H,MATCH(U89,Odds!G:G,0))</f>
        <v>21/10</v>
      </c>
      <c r="W89" s="40">
        <f t="shared" si="6"/>
        <v>1</v>
      </c>
      <c r="AB89" s="8" t="e">
        <f>INDEX(Odds!K:K,MATCH(M89,Odds!G:G,0))</f>
        <v>#N/A</v>
      </c>
      <c r="AE89" s="507" t="str">
        <f>IF(R89="","",INDEX(Odds!H:H,MATCH(R89,Odds!G:G,0)))</f>
        <v/>
      </c>
      <c r="AF89" s="507" t="str">
        <f>IF(INDEX(Table!S:S,MATCH(A89,Table!F:F,0))="N","N","")</f>
        <v/>
      </c>
      <c r="AG89" s="58"/>
      <c r="AH89" s="58"/>
      <c r="AI89" s="405"/>
      <c r="AJ89" s="58"/>
    </row>
    <row r="90" spans="1:36">
      <c r="A90" s="611" t="str">
        <f>A89</f>
        <v>Martin Molyneux</v>
      </c>
      <c r="B90" s="611"/>
      <c r="C90" s="646"/>
      <c r="D90" s="650"/>
      <c r="E90" s="612" t="str">
        <f t="shared" si="7"/>
        <v/>
      </c>
      <c r="F90" s="606" t="str">
        <f>IF(M90="","",INDEX(Odds!C:C,MATCH(M90,Odds!G:G,0)))</f>
        <v/>
      </c>
      <c r="G90" s="613" t="str">
        <f t="shared" si="8"/>
        <v/>
      </c>
      <c r="H90" s="614" t="str">
        <f t="shared" si="10"/>
        <v/>
      </c>
      <c r="I90" s="615"/>
      <c r="J90" s="616"/>
      <c r="K90" s="348">
        <f>IF(J89="",0,1)</f>
        <v>0</v>
      </c>
      <c r="L90" s="348"/>
      <c r="M90" s="407"/>
      <c r="N90" s="628" t="e">
        <f>INDEX(Odds!H:H,MATCH(M90,Odds!G:G,0))</f>
        <v>#N/A</v>
      </c>
      <c r="O90" s="629" t="e">
        <f>INDEX(Odds!I:I,MATCH(M90,Odds!G:G,0))</f>
        <v>#N/A</v>
      </c>
      <c r="P90" s="626" t="e">
        <f>INDEX(Odds!J:J,MATCH(M90,Odds!G:G,0))</f>
        <v>#N/A</v>
      </c>
      <c r="Q90" s="627" t="e">
        <f t="shared" si="9"/>
        <v>#N/A</v>
      </c>
      <c r="R90" s="504"/>
      <c r="S90" s="58"/>
      <c r="U90" s="35" t="str">
        <f>IF(Odds!G90="","",Odds!G90)</f>
        <v>Norway draw</v>
      </c>
      <c r="V90" s="36" t="str">
        <f>INDEX(Odds!H:H,MATCH(U90,Odds!G:G,0))</f>
        <v>23/10</v>
      </c>
      <c r="W90" s="40">
        <f t="shared" si="6"/>
        <v>0</v>
      </c>
      <c r="AB90" s="8" t="e">
        <f>INDEX(Odds!K:K,MATCH(M90,Odds!G:G,0))</f>
        <v>#N/A</v>
      </c>
      <c r="AE90" s="507" t="str">
        <f>IF(R90="","",INDEX(Odds!H:H,MATCH(R90,Odds!G:G,0)))</f>
        <v/>
      </c>
      <c r="AF90" s="507" t="str">
        <f>IF(INDEX(Table!S:S,MATCH(A90,Table!F:F,0))="N","N","")</f>
        <v/>
      </c>
      <c r="AG90" s="58"/>
      <c r="AH90" s="58"/>
      <c r="AI90" s="405"/>
      <c r="AJ90" s="58"/>
    </row>
    <row r="91" spans="1:36" ht="13.5" thickBot="1">
      <c r="A91" s="617" t="str">
        <f>A89</f>
        <v>Martin Molyneux</v>
      </c>
      <c r="B91" s="617"/>
      <c r="C91" s="647"/>
      <c r="D91" s="651"/>
      <c r="E91" s="618" t="str">
        <f t="shared" si="7"/>
        <v/>
      </c>
      <c r="F91" s="619" t="str">
        <f>IF(M91="","",INDEX(Odds!C:C,MATCH(M91,Odds!G:G,0)))</f>
        <v/>
      </c>
      <c r="G91" s="620" t="str">
        <f t="shared" si="8"/>
        <v/>
      </c>
      <c r="H91" s="614" t="str">
        <f t="shared" si="10"/>
        <v/>
      </c>
      <c r="I91" s="615"/>
      <c r="J91" s="616"/>
      <c r="K91" s="348"/>
      <c r="L91" s="348"/>
      <c r="M91" s="408"/>
      <c r="N91" s="630" t="e">
        <f>INDEX(Odds!H:H,MATCH(M91,Odds!G:G,0))</f>
        <v>#N/A</v>
      </c>
      <c r="O91" s="631" t="e">
        <f>INDEX(Odds!I:I,MATCH(M91,Odds!G:G,0))</f>
        <v>#N/A</v>
      </c>
      <c r="P91" s="626" t="e">
        <f>INDEX(Odds!J:J,MATCH(M91,Odds!G:G,0))</f>
        <v>#N/A</v>
      </c>
      <c r="Q91" s="632" t="e">
        <f t="shared" si="9"/>
        <v>#N/A</v>
      </c>
      <c r="R91" s="505"/>
      <c r="S91" s="58"/>
      <c r="U91" s="35" t="str">
        <f>IF(Odds!G91="","",Odds!G91)</f>
        <v>Serbia draw</v>
      </c>
      <c r="V91" s="36" t="str">
        <f>INDEX(Odds!H:H,MATCH(U91,Odds!G:G,0))</f>
        <v>14/5</v>
      </c>
      <c r="W91" s="40">
        <f t="shared" si="6"/>
        <v>0</v>
      </c>
      <c r="AB91" s="8" t="e">
        <f>INDEX(Odds!K:K,MATCH(M91,Odds!G:G,0))</f>
        <v>#N/A</v>
      </c>
      <c r="AE91" s="508" t="str">
        <f>IF(R91="","",INDEX(Odds!H:H,MATCH(R91,Odds!G:G,0)))</f>
        <v/>
      </c>
      <c r="AF91" s="508" t="str">
        <f>IF(INDEX(Table!S:S,MATCH(A91,Table!F:F,0))="N","N","")</f>
        <v/>
      </c>
      <c r="AG91" s="58"/>
      <c r="AH91" s="58"/>
      <c r="AI91" s="405"/>
      <c r="AJ91" s="58"/>
    </row>
    <row r="92" spans="1:36" ht="13.9" thickTop="1" thickBot="1">
      <c r="A92" s="604" t="str">
        <f>Results!B92</f>
        <v>Martin Tarbuck</v>
      </c>
      <c r="B92" s="604" t="str">
        <f>INDEX(Table!E:E,MATCH(A92,Table!F:F,0))</f>
        <v>B</v>
      </c>
      <c r="C92" s="645">
        <f>INDEX(Table!D:D,MATCH(A92,Table!F:F,0))</f>
        <v>13</v>
      </c>
      <c r="D92" s="649">
        <f>INDEX(Table!I:I,MATCH(A92,Table!F:F,0))</f>
        <v>-25.856363636363632</v>
      </c>
      <c r="E92" s="605" t="str">
        <f t="shared" si="7"/>
        <v/>
      </c>
      <c r="F92" s="606" t="str">
        <f>IF(M92="","",INDEX(Odds!C:C,MATCH(M92,Odds!G:G,0)))</f>
        <v/>
      </c>
      <c r="G92" s="607" t="str">
        <f t="shared" si="8"/>
        <v/>
      </c>
      <c r="H92" s="608" t="str">
        <f t="shared" si="10"/>
        <v/>
      </c>
      <c r="I92" s="609">
        <f>IF(M92="",-10,INDEX(Results!T:T,MATCH(A92,Results!V:V,0)))</f>
        <v>-10</v>
      </c>
      <c r="J92" s="610" t="str">
        <f>IF(M92="","",INDEX(Results!AI:AI,MATCH(A92,Results!V:V,0)))</f>
        <v/>
      </c>
      <c r="K92" s="348" t="str">
        <f>IF(INDEX(Table!Q:Q,MATCH(A92,Table!F:F,0))="N","N","Y")</f>
        <v>Y</v>
      </c>
      <c r="L92" s="347" t="str">
        <f>INDEX(Picks!AJ:AJ,MATCH(A92,Picks!AG:AG,0))</f>
        <v/>
      </c>
      <c r="M92" s="407"/>
      <c r="N92" s="624" t="e">
        <f>INDEX(Odds!H:H,MATCH(M92,Odds!G:G,0))</f>
        <v>#N/A</v>
      </c>
      <c r="O92" s="625" t="e">
        <f>INDEX(Odds!I:I,MATCH(M92,Odds!G:G,0))</f>
        <v>#N/A</v>
      </c>
      <c r="P92" s="633" t="e">
        <f>INDEX(Odds!J:J,MATCH(M92,Odds!G:G,0))</f>
        <v>#N/A</v>
      </c>
      <c r="Q92" s="627" t="e">
        <f t="shared" si="9"/>
        <v>#N/A</v>
      </c>
      <c r="R92" s="504"/>
      <c r="S92" s="58"/>
      <c r="U92" s="35" t="str">
        <f>IF(Odds!G92="","",Odds!G92)</f>
        <v/>
      </c>
      <c r="V92" s="36" t="str">
        <f>INDEX(Odds!H:H,MATCH(U92,Odds!G:G,0))</f>
        <v/>
      </c>
      <c r="W92" s="40" t="e">
        <f t="shared" si="6"/>
        <v>#N/A</v>
      </c>
      <c r="AB92" s="8" t="e">
        <f>INDEX(Odds!K:K,MATCH(M92,Odds!G:G,0))</f>
        <v>#N/A</v>
      </c>
      <c r="AE92" s="507" t="str">
        <f>IF(R92="","",INDEX(Odds!H:H,MATCH(R92,Odds!G:G,0)))</f>
        <v/>
      </c>
      <c r="AF92" s="507" t="str">
        <f>IF(INDEX(Table!S:S,MATCH(A92,Table!F:F,0))="N","N","")</f>
        <v/>
      </c>
      <c r="AG92" s="58"/>
      <c r="AH92" s="58"/>
      <c r="AI92" s="405"/>
      <c r="AJ92" s="58"/>
    </row>
    <row r="93" spans="1:36">
      <c r="A93" s="611" t="str">
        <f>A92</f>
        <v>Martin Tarbuck</v>
      </c>
      <c r="B93" s="611"/>
      <c r="C93" s="646"/>
      <c r="D93" s="650"/>
      <c r="E93" s="612" t="str">
        <f t="shared" si="7"/>
        <v/>
      </c>
      <c r="F93" s="606" t="str">
        <f>IF(M93="","",INDEX(Odds!C:C,MATCH(M93,Odds!G:G,0)))</f>
        <v/>
      </c>
      <c r="G93" s="613" t="str">
        <f t="shared" si="8"/>
        <v/>
      </c>
      <c r="H93" s="614" t="str">
        <f t="shared" si="10"/>
        <v/>
      </c>
      <c r="I93" s="615"/>
      <c r="J93" s="616"/>
      <c r="K93" s="348">
        <f>IF(J92="",0,1)</f>
        <v>0</v>
      </c>
      <c r="L93" s="348"/>
      <c r="M93" s="407"/>
      <c r="N93" s="628" t="e">
        <f>INDEX(Odds!H:H,MATCH(M93,Odds!G:G,0))</f>
        <v>#N/A</v>
      </c>
      <c r="O93" s="629" t="e">
        <f>INDEX(Odds!I:I,MATCH(M93,Odds!G:G,0))</f>
        <v>#N/A</v>
      </c>
      <c r="P93" s="626" t="e">
        <f>INDEX(Odds!J:J,MATCH(M93,Odds!G:G,0))</f>
        <v>#N/A</v>
      </c>
      <c r="Q93" s="627" t="e">
        <f t="shared" si="9"/>
        <v>#N/A</v>
      </c>
      <c r="R93" s="504"/>
      <c r="S93" s="58"/>
      <c r="U93" s="41" t="str">
        <f>IF(Odds!G93="","",Odds!G93)</f>
        <v/>
      </c>
      <c r="V93" s="42" t="str">
        <f>INDEX(Odds!H:H,MATCH(U93,Odds!G:G,0))</f>
        <v/>
      </c>
      <c r="W93" s="43" t="e">
        <f t="shared" si="6"/>
        <v>#N/A</v>
      </c>
      <c r="AB93" s="8" t="e">
        <f>INDEX(Odds!K:K,MATCH(M93,Odds!G:G,0))</f>
        <v>#N/A</v>
      </c>
      <c r="AE93" s="507" t="str">
        <f>IF(R93="","",INDEX(Odds!H:H,MATCH(R93,Odds!G:G,0)))</f>
        <v/>
      </c>
      <c r="AF93" s="507" t="str">
        <f>IF(INDEX(Table!S:S,MATCH(A93,Table!F:F,0))="N","N","")</f>
        <v/>
      </c>
      <c r="AG93" s="58"/>
      <c r="AH93" s="58"/>
      <c r="AI93" s="405"/>
      <c r="AJ93" s="58"/>
    </row>
    <row r="94" spans="1:36" ht="13.5" thickBot="1">
      <c r="A94" s="617" t="str">
        <f>A92</f>
        <v>Martin Tarbuck</v>
      </c>
      <c r="B94" s="617"/>
      <c r="C94" s="647"/>
      <c r="D94" s="651"/>
      <c r="E94" s="618" t="str">
        <f t="shared" si="7"/>
        <v/>
      </c>
      <c r="F94" s="619" t="str">
        <f>IF(M94="","",INDEX(Odds!C:C,MATCH(M94,Odds!G:G,0)))</f>
        <v/>
      </c>
      <c r="G94" s="620" t="str">
        <f t="shared" si="8"/>
        <v/>
      </c>
      <c r="H94" s="614" t="str">
        <f t="shared" si="10"/>
        <v/>
      </c>
      <c r="I94" s="615"/>
      <c r="J94" s="616"/>
      <c r="K94" s="348"/>
      <c r="L94" s="348"/>
      <c r="M94" s="408"/>
      <c r="N94" s="630" t="e">
        <f>INDEX(Odds!H:H,MATCH(M94,Odds!G:G,0))</f>
        <v>#N/A</v>
      </c>
      <c r="O94" s="631" t="e">
        <f>INDEX(Odds!I:I,MATCH(M94,Odds!G:G,0))</f>
        <v>#N/A</v>
      </c>
      <c r="P94" s="626" t="e">
        <f>INDEX(Odds!J:J,MATCH(M94,Odds!G:G,0))</f>
        <v>#N/A</v>
      </c>
      <c r="Q94" s="632" t="e">
        <f t="shared" si="9"/>
        <v>#N/A</v>
      </c>
      <c r="R94" s="505"/>
      <c r="S94" s="58"/>
      <c r="U94" s="37" t="str">
        <f>IF(Odds!G94="","",Odds!G94)</f>
        <v>Latvia</v>
      </c>
      <c r="V94" s="38" t="str">
        <f>INDEX(Odds!H:H,MATCH(U94,Odds!G:G,0))</f>
        <v>19/5</v>
      </c>
      <c r="W94" s="39">
        <f t="shared" ref="W94:W133" si="11">IF(Y2&lt;AA2,1,0)</f>
        <v>0</v>
      </c>
      <c r="AB94" s="8" t="e">
        <f>INDEX(Odds!K:K,MATCH(M94,Odds!G:G,0))</f>
        <v>#N/A</v>
      </c>
      <c r="AE94" s="508" t="str">
        <f>IF(R94="","",INDEX(Odds!H:H,MATCH(R94,Odds!G:G,0)))</f>
        <v/>
      </c>
      <c r="AF94" s="508" t="str">
        <f>IF(INDEX(Table!S:S,MATCH(A94,Table!F:F,0))="N","N","")</f>
        <v/>
      </c>
      <c r="AG94" s="58"/>
      <c r="AH94" s="58"/>
      <c r="AI94" s="405"/>
      <c r="AJ94" s="58"/>
    </row>
    <row r="95" spans="1:36" ht="13.5" customHeight="1" thickTop="1" thickBot="1">
      <c r="A95" s="604" t="str">
        <f>Results!B95</f>
        <v>Mike Penk</v>
      </c>
      <c r="B95" s="604" t="str">
        <f>INDEX(Table!E:E,MATCH(A95,Table!F:F,0))</f>
        <v>A</v>
      </c>
      <c r="C95" s="645">
        <f>INDEX(Table!D:D,MATCH(A95,Table!F:F,0))</f>
        <v>9</v>
      </c>
      <c r="D95" s="649">
        <f>INDEX(Table!I:I,MATCH(A95,Table!F:F,0))</f>
        <v>-18.336363636363636</v>
      </c>
      <c r="E95" s="605" t="str">
        <f t="shared" si="7"/>
        <v>Cambridge</v>
      </c>
      <c r="F95" s="606">
        <f>IF(M95="","",INDEX(Odds!C:C,MATCH(M95,Odds!G:G,0)))</f>
        <v>7</v>
      </c>
      <c r="G95" s="607">
        <f t="shared" si="8"/>
        <v>1.8</v>
      </c>
      <c r="H95" s="608" t="str">
        <f t="shared" si="10"/>
        <v>x</v>
      </c>
      <c r="I95" s="609">
        <f>IF(M95="",-10,INDEX(Results!T:T,MATCH(A95,Results!V:V,0)))</f>
        <v>-4.8</v>
      </c>
      <c r="J95" s="610">
        <f>IF(M95="","",INDEX(Results!AI:AI,MATCH(A95,Results!V:V,0)))</f>
        <v>20.672000000000004</v>
      </c>
      <c r="K95" s="348" t="str">
        <f>IF(INDEX(Table!Q:Q,MATCH(A95,Table!F:F,0))="N","N","Y")</f>
        <v>Y</v>
      </c>
      <c r="L95" s="347">
        <f>INDEX(Picks!AJ:AJ,MATCH(A95,Picks!AG:AG,0))</f>
        <v>23</v>
      </c>
      <c r="M95" s="407" t="s">
        <v>552</v>
      </c>
      <c r="N95" s="624" t="str">
        <f>INDEX(Odds!H:H,MATCH(M95,Odds!G:G,0))</f>
        <v>4/5</v>
      </c>
      <c r="O95" s="625">
        <f>INDEX(Odds!I:I,MATCH(M95,Odds!G:G,0))</f>
        <v>1.8</v>
      </c>
      <c r="P95" s="633">
        <f>INDEX(Odds!J:J,MATCH(M95,Odds!G:G,0))</f>
        <v>0</v>
      </c>
      <c r="Q95" s="627">
        <f t="shared" ref="Q95:Q133" si="12">O95*P95</f>
        <v>0</v>
      </c>
      <c r="R95" s="504"/>
      <c r="S95" s="58"/>
      <c r="U95" s="35" t="str">
        <f>IF(Odds!G95="","",Odds!G95)</f>
        <v>N Ireland</v>
      </c>
      <c r="V95" s="36" t="str">
        <f>INDEX(Odds!H:H,MATCH(U95,Odds!G:G,0))</f>
        <v>3/1</v>
      </c>
      <c r="W95" s="40">
        <f t="shared" si="11"/>
        <v>1</v>
      </c>
      <c r="AB95" s="8">
        <f>INDEX(Odds!K:K,MATCH(M95,Odds!G:G,0))</f>
        <v>1</v>
      </c>
      <c r="AE95" s="507" t="str">
        <f>IF(R95="","",INDEX(Odds!H:H,MATCH(R95,Odds!G:G,0)))</f>
        <v/>
      </c>
      <c r="AF95" s="507" t="str">
        <f>IF(INDEX(Table!S:S,MATCH(A95,Table!F:F,0))="N","N","")</f>
        <v/>
      </c>
      <c r="AG95" s="58"/>
      <c r="AH95" s="58"/>
      <c r="AI95" s="405"/>
      <c r="AJ95" s="58"/>
    </row>
    <row r="96" spans="1:36">
      <c r="A96" s="611" t="str">
        <f>A95</f>
        <v>Mike Penk</v>
      </c>
      <c r="B96" s="611"/>
      <c r="C96" s="646"/>
      <c r="D96" s="650"/>
      <c r="E96" s="612" t="str">
        <f t="shared" si="7"/>
        <v>Bulgaria</v>
      </c>
      <c r="F96" s="606">
        <f>IF(M96="","",INDEX(Odds!C:C,MATCH(M96,Odds!G:G,0)))</f>
        <v>7</v>
      </c>
      <c r="G96" s="613">
        <f t="shared" si="8"/>
        <v>2.2000000000000002</v>
      </c>
      <c r="H96" s="614" t="str">
        <f t="shared" si="10"/>
        <v>x</v>
      </c>
      <c r="I96" s="615"/>
      <c r="J96" s="616"/>
      <c r="K96" s="348">
        <f>IF(J95="",0,1)</f>
        <v>1</v>
      </c>
      <c r="L96" s="348"/>
      <c r="M96" s="407" t="s">
        <v>596</v>
      </c>
      <c r="N96" s="628" t="str">
        <f>INDEX(Odds!H:H,MATCH(M96,Odds!G:G,0))</f>
        <v>6/5</v>
      </c>
      <c r="O96" s="629">
        <f>INDEX(Odds!I:I,MATCH(M96,Odds!G:G,0))</f>
        <v>2.2000000000000002</v>
      </c>
      <c r="P96" s="626">
        <f>INDEX(Odds!J:J,MATCH(M96,Odds!G:G,0))</f>
        <v>0</v>
      </c>
      <c r="Q96" s="627">
        <f t="shared" si="12"/>
        <v>0</v>
      </c>
      <c r="R96" s="504"/>
      <c r="S96" s="58"/>
      <c r="U96" s="35" t="str">
        <f>IF(Odds!G96="","",Odds!G96)</f>
        <v>Ukraine</v>
      </c>
      <c r="V96" s="36" t="str">
        <f>INDEX(Odds!H:H,MATCH(U96,Odds!G:G,0))</f>
        <v>11/5</v>
      </c>
      <c r="W96" s="40">
        <f t="shared" si="11"/>
        <v>1</v>
      </c>
      <c r="AB96" s="8">
        <f>INDEX(Odds!K:K,MATCH(M96,Odds!G:G,0))</f>
        <v>1</v>
      </c>
      <c r="AE96" s="507" t="str">
        <f>IF(R96="","",INDEX(Odds!H:H,MATCH(R96,Odds!G:G,0)))</f>
        <v/>
      </c>
      <c r="AF96" s="507" t="str">
        <f>IF(INDEX(Table!S:S,MATCH(A96,Table!F:F,0))="N","N","")</f>
        <v/>
      </c>
      <c r="AG96" s="58"/>
      <c r="AH96" s="58"/>
      <c r="AI96" s="405"/>
      <c r="AJ96" s="58"/>
    </row>
    <row r="97" spans="1:36" ht="13.5" thickBot="1">
      <c r="A97" s="617" t="str">
        <f>A95</f>
        <v>Mike Penk</v>
      </c>
      <c r="B97" s="617"/>
      <c r="C97" s="647"/>
      <c r="D97" s="651"/>
      <c r="E97" s="618" t="str">
        <f t="shared" si="7"/>
        <v>Altrincham</v>
      </c>
      <c r="F97" s="619">
        <f>IF(M97="","",INDEX(Odds!C:C,MATCH(M97,Odds!G:G,0)))</f>
        <v>1</v>
      </c>
      <c r="G97" s="620">
        <f t="shared" si="8"/>
        <v>2.2000000000000002</v>
      </c>
      <c r="H97" s="621" t="str">
        <f t="shared" si="10"/>
        <v>√</v>
      </c>
      <c r="I97" s="615"/>
      <c r="J97" s="616"/>
      <c r="K97" s="348"/>
      <c r="L97" s="348"/>
      <c r="M97" s="408" t="s">
        <v>617</v>
      </c>
      <c r="N97" s="630" t="str">
        <f>INDEX(Odds!H:H,MATCH(M97,Odds!G:G,0))</f>
        <v>6/5</v>
      </c>
      <c r="O97" s="631">
        <f>INDEX(Odds!I:I,MATCH(M97,Odds!G:G,0))</f>
        <v>2.2000000000000002</v>
      </c>
      <c r="P97" s="626">
        <f>INDEX(Odds!J:J,MATCH(M97,Odds!G:G,0))</f>
        <v>1</v>
      </c>
      <c r="Q97" s="632">
        <f t="shared" si="12"/>
        <v>2.2000000000000002</v>
      </c>
      <c r="R97" s="505"/>
      <c r="S97" s="58"/>
      <c r="U97" s="35" t="str">
        <f>IF(Odds!G97="","",Odds!G97)</f>
        <v>Belgium</v>
      </c>
      <c r="V97" s="36" t="str">
        <f>INDEX(Odds!H:H,MATCH(U97,Odds!G:G,0))</f>
        <v>21/10</v>
      </c>
      <c r="W97" s="40">
        <f t="shared" si="11"/>
        <v>1</v>
      </c>
      <c r="AB97" s="8">
        <f>INDEX(Odds!K:K,MATCH(M97,Odds!G:G,0))</f>
        <v>1</v>
      </c>
      <c r="AE97" s="508" t="str">
        <f>IF(R97="","",INDEX(Odds!H:H,MATCH(R97,Odds!G:G,0)))</f>
        <v/>
      </c>
      <c r="AF97" s="508" t="str">
        <f>IF(INDEX(Table!S:S,MATCH(A97,Table!F:F,0))="N","N","")</f>
        <v/>
      </c>
      <c r="AG97" s="58"/>
      <c r="AH97" s="58"/>
      <c r="AI97" s="405"/>
      <c r="AJ97" s="58"/>
    </row>
    <row r="98" spans="1:36" ht="13.9" thickTop="1" thickBot="1">
      <c r="A98" s="604" t="str">
        <f>Results!B98</f>
        <v>Naaman Boyd</v>
      </c>
      <c r="B98" s="604" t="str">
        <f>INDEX(Table!E:E,MATCH(A98,Table!F:F,0))</f>
        <v>C</v>
      </c>
      <c r="C98" s="645">
        <f>INDEX(Table!D:D,MATCH(A98,Table!F:F,0))</f>
        <v>8</v>
      </c>
      <c r="D98" s="649">
        <f>INDEX(Table!I:I,MATCH(A98,Table!F:F,0))</f>
        <v>-15.487619047619049</v>
      </c>
      <c r="E98" s="605" t="str">
        <f t="shared" si="7"/>
        <v>Shrewsbury</v>
      </c>
      <c r="F98" s="606">
        <f>IF(M98="","",INDEX(Odds!C:C,MATCH(M98,Odds!G:G,0)))</f>
        <v>7</v>
      </c>
      <c r="G98" s="607">
        <f t="shared" si="8"/>
        <v>2.5</v>
      </c>
      <c r="H98" s="608" t="str">
        <f t="shared" si="10"/>
        <v>x</v>
      </c>
      <c r="I98" s="609">
        <f>IF(M98="",-10,INDEX(Results!T:T,MATCH(A98,Results!V:V,0)))</f>
        <v>-5.5</v>
      </c>
      <c r="J98" s="610">
        <f>IF(M98="","",INDEX(Results!AI:AI,MATCH(A98,Results!V:V,0)))</f>
        <v>22.625</v>
      </c>
      <c r="K98" s="348" t="str">
        <f>IF(INDEX(Table!Q:Q,MATCH(A98,Table!F:F,0))="N","N","Y")</f>
        <v>Y</v>
      </c>
      <c r="L98" s="347">
        <f>INDEX(Picks!AJ:AJ,MATCH(A98,Picks!AG:AG,0))</f>
        <v>33</v>
      </c>
      <c r="M98" s="407" t="s">
        <v>567</v>
      </c>
      <c r="N98" s="624" t="str">
        <f>INDEX(Odds!H:H,MATCH(M98,Odds!G:G,0))</f>
        <v>6/4</v>
      </c>
      <c r="O98" s="625">
        <f>INDEX(Odds!I:I,MATCH(M98,Odds!G:G,0))</f>
        <v>2.5</v>
      </c>
      <c r="P98" s="633">
        <f>INDEX(Odds!J:J,MATCH(M98,Odds!G:G,0))</f>
        <v>0</v>
      </c>
      <c r="Q98" s="627">
        <f t="shared" si="12"/>
        <v>0</v>
      </c>
      <c r="R98" s="504"/>
      <c r="S98" s="58"/>
      <c r="U98" s="35" t="str">
        <f>IF(Odds!G98="","",Odds!G98)</f>
        <v>Cyprus</v>
      </c>
      <c r="V98" s="36" t="str">
        <f>INDEX(Odds!H:H,MATCH(U98,Odds!G:G,0))</f>
        <v>15/4</v>
      </c>
      <c r="W98" s="40">
        <f t="shared" si="11"/>
        <v>0</v>
      </c>
      <c r="AB98" s="8">
        <f>INDEX(Odds!K:K,MATCH(M98,Odds!G:G,0))</f>
        <v>1</v>
      </c>
      <c r="AE98" s="507" t="str">
        <f>IF(R98="","",INDEX(Odds!H:H,MATCH(R98,Odds!G:G,0)))</f>
        <v/>
      </c>
      <c r="AF98" s="507" t="str">
        <f>IF(INDEX(Table!S:S,MATCH(A98,Table!F:F,0))="N","N","")</f>
        <v/>
      </c>
      <c r="AG98" s="58"/>
      <c r="AH98" s="58"/>
      <c r="AI98" s="405"/>
      <c r="AJ98" s="58"/>
    </row>
    <row r="99" spans="1:36">
      <c r="A99" s="611" t="str">
        <f>A98</f>
        <v>Naaman Boyd</v>
      </c>
      <c r="B99" s="611"/>
      <c r="C99" s="646"/>
      <c r="D99" s="650"/>
      <c r="E99" s="612" t="str">
        <f t="shared" si="7"/>
        <v>Tranmere</v>
      </c>
      <c r="F99" s="606">
        <f>IF(M99="","",INDEX(Odds!C:C,MATCH(M99,Odds!G:G,0)))</f>
        <v>7</v>
      </c>
      <c r="G99" s="613">
        <f t="shared" si="8"/>
        <v>2.5</v>
      </c>
      <c r="H99" s="614" t="str">
        <f t="shared" si="10"/>
        <v>x</v>
      </c>
      <c r="I99" s="615"/>
      <c r="J99" s="616"/>
      <c r="K99" s="348">
        <f>IF(J98="",0,1)</f>
        <v>1</v>
      </c>
      <c r="L99" s="348"/>
      <c r="M99" s="407" t="s">
        <v>532</v>
      </c>
      <c r="N99" s="628" t="str">
        <f>INDEX(Odds!H:H,MATCH(M99,Odds!G:G,0))</f>
        <v>6/4</v>
      </c>
      <c r="O99" s="629">
        <f>INDEX(Odds!I:I,MATCH(M99,Odds!G:G,0))</f>
        <v>2.5</v>
      </c>
      <c r="P99" s="626">
        <f>INDEX(Odds!J:J,MATCH(M99,Odds!G:G,0))</f>
        <v>0</v>
      </c>
      <c r="Q99" s="627">
        <f t="shared" si="12"/>
        <v>0</v>
      </c>
      <c r="R99" s="504"/>
      <c r="S99" s="58"/>
      <c r="U99" s="35" t="str">
        <f>IF(Odds!G99="","",Odds!G99)</f>
        <v>Bosnia</v>
      </c>
      <c r="V99" s="36" t="str">
        <f>INDEX(Odds!H:H,MATCH(U99,Odds!G:G,0))</f>
        <v>19/5</v>
      </c>
      <c r="W99" s="40">
        <f t="shared" si="11"/>
        <v>0</v>
      </c>
      <c r="AB99" s="8">
        <f>INDEX(Odds!K:K,MATCH(M99,Odds!G:G,0))</f>
        <v>1</v>
      </c>
      <c r="AE99" s="507" t="str">
        <f>IF(R99="","",INDEX(Odds!H:H,MATCH(R99,Odds!G:G,0)))</f>
        <v/>
      </c>
      <c r="AF99" s="507" t="str">
        <f>IF(INDEX(Table!S:S,MATCH(A99,Table!F:F,0))="N","N","")</f>
        <v/>
      </c>
      <c r="AG99" s="58"/>
      <c r="AH99" s="58"/>
      <c r="AI99" s="405"/>
      <c r="AJ99" s="58"/>
    </row>
    <row r="100" spans="1:36" ht="13.5" thickBot="1">
      <c r="A100" s="617" t="str">
        <f>A98</f>
        <v>Naaman Boyd</v>
      </c>
      <c r="B100" s="617"/>
      <c r="C100" s="647"/>
      <c r="D100" s="651"/>
      <c r="E100" s="618" t="str">
        <f>IF(M100="","",M100)</f>
        <v>York</v>
      </c>
      <c r="F100" s="619">
        <f>IF(M100="","",INDEX(Odds!C:C,MATCH(M100,Odds!G:G,0)))</f>
        <v>7</v>
      </c>
      <c r="G100" s="620">
        <f>IF(M100="","",O100)</f>
        <v>1.5</v>
      </c>
      <c r="H100" s="614" t="str">
        <f>IF(M100="","",IF(P100=1,"√","x"))</f>
        <v>√</v>
      </c>
      <c r="I100" s="615"/>
      <c r="J100" s="616"/>
      <c r="K100" s="348"/>
      <c r="L100" s="348"/>
      <c r="M100" s="408" t="s">
        <v>570</v>
      </c>
      <c r="N100" s="630" t="str">
        <f>INDEX(Odds!H:H,MATCH(M100,Odds!G:G,0))</f>
        <v>1/2</v>
      </c>
      <c r="O100" s="631">
        <f>INDEX(Odds!I:I,MATCH(M100,Odds!G:G,0))</f>
        <v>1.5</v>
      </c>
      <c r="P100" s="626">
        <f>INDEX(Odds!J:J,MATCH(M100,Odds!G:G,0))</f>
        <v>1</v>
      </c>
      <c r="Q100" s="632">
        <f t="shared" si="12"/>
        <v>1.5</v>
      </c>
      <c r="R100" s="505"/>
      <c r="S100" s="58"/>
      <c r="U100" s="35" t="str">
        <f>IF(Odds!G100="","",Odds!G100)</f>
        <v>Romania</v>
      </c>
      <c r="V100" s="36" t="str">
        <f>INDEX(Odds!H:H,MATCH(U100,Odds!G:G,0))</f>
        <v>9/2</v>
      </c>
      <c r="W100" s="40">
        <f t="shared" si="11"/>
        <v>0</v>
      </c>
      <c r="AB100" s="8">
        <f>INDEX(Odds!K:K,MATCH(M100,Odds!G:G,0))</f>
        <v>1</v>
      </c>
      <c r="AE100" s="508" t="str">
        <f>IF(R100="","",INDEX(Odds!H:H,MATCH(R100,Odds!G:G,0)))</f>
        <v/>
      </c>
      <c r="AF100" s="508" t="str">
        <f>IF(INDEX(Table!S:S,MATCH(A100,Table!F:F,0))="N","N","")</f>
        <v/>
      </c>
      <c r="AG100" s="58"/>
      <c r="AH100" s="58"/>
      <c r="AI100" s="405"/>
      <c r="AJ100" s="58"/>
    </row>
    <row r="101" spans="1:36" ht="13.9" thickTop="1" thickBot="1">
      <c r="A101" s="604" t="str">
        <f>Results!B101</f>
        <v>Nick Blocksidge</v>
      </c>
      <c r="B101" s="604" t="str">
        <f>INDEX(Table!E:E,MATCH(A101,Table!F:F,0))</f>
        <v>A</v>
      </c>
      <c r="C101" s="645">
        <f>INDEX(Table!D:D,MATCH(A101,Table!F:F,0))</f>
        <v>5</v>
      </c>
      <c r="D101" s="649">
        <f>INDEX(Table!I:I,MATCH(A101,Table!F:F,0))</f>
        <v>-12.149350649350648</v>
      </c>
      <c r="E101" s="605" t="str">
        <f>IF(M101="","",M101)</f>
        <v>Stockport</v>
      </c>
      <c r="F101" s="606">
        <f>IF(M101="","",INDEX(Odds!C:C,MATCH(M101,Odds!G:G,0)))</f>
        <v>7</v>
      </c>
      <c r="G101" s="607">
        <f>IF(M101="","",O101)</f>
        <v>1.3636363636363638</v>
      </c>
      <c r="H101" s="608" t="str">
        <f>IF(M101="","",IF(P101=1,"√","x"))</f>
        <v>√</v>
      </c>
      <c r="I101" s="609">
        <f>IF(M101="",-10,INDEX(Results!T:T,MATCH(A101,Results!V:V,0)))</f>
        <v>-2.0909090909090899</v>
      </c>
      <c r="J101" s="610">
        <f>IF(M101="","",INDEX(Results!AI:AI,MATCH(A101,Results!V:V,0)))</f>
        <v>18.000000000000004</v>
      </c>
      <c r="K101" s="348" t="str">
        <f>IF(INDEX(Table!Q:Q,MATCH(A101,Table!F:F,0))="N","N","Y")</f>
        <v>Y</v>
      </c>
      <c r="L101" s="347">
        <f>INDEX(Picks!AJ:AJ,MATCH(A101,Picks!AG:AG,0))</f>
        <v>17</v>
      </c>
      <c r="M101" s="407" t="s">
        <v>645</v>
      </c>
      <c r="N101" s="624" t="str">
        <f>INDEX(Odds!H:H,MATCH(M101,Odds!G:G,0))</f>
        <v>4/11</v>
      </c>
      <c r="O101" s="625">
        <f>INDEX(Odds!I:I,MATCH(M101,Odds!G:G,0))</f>
        <v>1.3636363636363638</v>
      </c>
      <c r="P101" s="633">
        <f>INDEX(Odds!J:J,MATCH(M101,Odds!G:G,0))</f>
        <v>1</v>
      </c>
      <c r="Q101" s="627">
        <f t="shared" si="12"/>
        <v>1.3636363636363638</v>
      </c>
      <c r="R101" s="504"/>
      <c r="S101" s="58"/>
      <c r="U101" s="35" t="str">
        <f>IF(Odds!G101="","",Odds!G101)</f>
        <v>France</v>
      </c>
      <c r="V101" s="36" t="str">
        <f>INDEX(Odds!H:H,MATCH(U101,Odds!G:G,0))</f>
        <v>4/9</v>
      </c>
      <c r="W101" s="40">
        <f t="shared" si="11"/>
        <v>1</v>
      </c>
      <c r="AB101" s="8">
        <f>INDEX(Odds!K:K,MATCH(M101,Odds!G:G,0))</f>
        <v>1</v>
      </c>
      <c r="AE101" s="507" t="str">
        <f>IF(R101="","",INDEX(Odds!H:H,MATCH(R101,Odds!G:G,0)))</f>
        <v/>
      </c>
      <c r="AF101" s="507" t="str">
        <f>IF(INDEX(Table!S:S,MATCH(A101,Table!F:F,0))="N","N","")</f>
        <v/>
      </c>
      <c r="AG101" s="58"/>
      <c r="AH101" s="58"/>
      <c r="AI101" s="405"/>
      <c r="AJ101" s="58"/>
    </row>
    <row r="102" spans="1:36">
      <c r="A102" s="611" t="str">
        <f>A101</f>
        <v>Nick Blocksidge</v>
      </c>
      <c r="B102" s="611"/>
      <c r="C102" s="646"/>
      <c r="D102" s="650"/>
      <c r="E102" s="612" t="str">
        <f t="shared" si="7"/>
        <v>York</v>
      </c>
      <c r="F102" s="606">
        <f>IF(M102="","",INDEX(Odds!C:C,MATCH(M102,Odds!G:G,0)))</f>
        <v>7</v>
      </c>
      <c r="G102" s="613">
        <f t="shared" si="8"/>
        <v>1.5</v>
      </c>
      <c r="H102" s="614" t="str">
        <f t="shared" si="10"/>
        <v>√</v>
      </c>
      <c r="I102" s="615"/>
      <c r="J102" s="616"/>
      <c r="K102" s="348">
        <f>IF(J101="",0,1)</f>
        <v>1</v>
      </c>
      <c r="L102" s="348"/>
      <c r="M102" s="407" t="s">
        <v>570</v>
      </c>
      <c r="N102" s="628" t="str">
        <f>INDEX(Odds!H:H,MATCH(M102,Odds!G:G,0))</f>
        <v>1/2</v>
      </c>
      <c r="O102" s="629">
        <f>INDEX(Odds!I:I,MATCH(M102,Odds!G:G,0))</f>
        <v>1.5</v>
      </c>
      <c r="P102" s="626">
        <f>INDEX(Odds!J:J,MATCH(M102,Odds!G:G,0))</f>
        <v>1</v>
      </c>
      <c r="Q102" s="627">
        <f t="shared" si="12"/>
        <v>1.5</v>
      </c>
      <c r="R102" s="504"/>
      <c r="S102" s="58"/>
      <c r="U102" s="35" t="str">
        <f>IF(Odds!G102="","",Odds!G102)</f>
        <v>Wimbledon</v>
      </c>
      <c r="V102" s="36" t="str">
        <f>INDEX(Odds!H:H,MATCH(U102,Odds!G:G,0))</f>
        <v>3/1</v>
      </c>
      <c r="W102" s="40">
        <f t="shared" si="11"/>
        <v>0</v>
      </c>
      <c r="AB102" s="8">
        <f>INDEX(Odds!K:K,MATCH(M102,Odds!G:G,0))</f>
        <v>1</v>
      </c>
      <c r="AE102" s="507" t="str">
        <f>IF(R102="","",INDEX(Odds!H:H,MATCH(R102,Odds!G:G,0)))</f>
        <v/>
      </c>
      <c r="AF102" s="507" t="str">
        <f>IF(INDEX(Table!S:S,MATCH(A102,Table!F:F,0))="N","N","")</f>
        <v/>
      </c>
      <c r="AG102" s="58"/>
      <c r="AH102" s="58"/>
      <c r="AI102" s="405"/>
      <c r="AJ102" s="58"/>
    </row>
    <row r="103" spans="1:36" ht="13.5" thickBot="1">
      <c r="A103" s="617" t="str">
        <f>A101</f>
        <v>Nick Blocksidge</v>
      </c>
      <c r="B103" s="617"/>
      <c r="C103" s="647"/>
      <c r="D103" s="651"/>
      <c r="E103" s="618" t="str">
        <f t="shared" si="7"/>
        <v>Italy draw</v>
      </c>
      <c r="F103" s="619">
        <f>IF(M103="","",INDEX(Odds!C:C,MATCH(M103,Odds!G:G,0)))</f>
        <v>6</v>
      </c>
      <c r="G103" s="620">
        <f t="shared" si="8"/>
        <v>3.4</v>
      </c>
      <c r="H103" s="621" t="str">
        <f t="shared" si="10"/>
        <v>x</v>
      </c>
      <c r="I103" s="615"/>
      <c r="J103" s="616"/>
      <c r="K103" s="348"/>
      <c r="L103" s="348"/>
      <c r="M103" s="408" t="s">
        <v>646</v>
      </c>
      <c r="N103" s="630" t="str">
        <f>INDEX(Odds!H:H,MATCH(M103,Odds!G:G,0))</f>
        <v>12/5</v>
      </c>
      <c r="O103" s="631">
        <f>INDEX(Odds!I:I,MATCH(M103,Odds!G:G,0))</f>
        <v>3.4</v>
      </c>
      <c r="P103" s="626">
        <f>INDEX(Odds!J:J,MATCH(M103,Odds!G:G,0))</f>
        <v>0</v>
      </c>
      <c r="Q103" s="632">
        <f t="shared" si="12"/>
        <v>0</v>
      </c>
      <c r="R103" s="505"/>
      <c r="S103" s="58"/>
      <c r="U103" s="35" t="str">
        <f>IF(Odds!G103="","",Odds!G103)</f>
        <v>Burton</v>
      </c>
      <c r="V103" s="36" t="str">
        <f>INDEX(Odds!H:H,MATCH(U103,Odds!G:G,0))</f>
        <v>18/5</v>
      </c>
      <c r="W103" s="40">
        <f t="shared" si="11"/>
        <v>1</v>
      </c>
      <c r="AB103" s="8">
        <f>INDEX(Odds!K:K,MATCH(M103,Odds!G:G,0))</f>
        <v>1</v>
      </c>
      <c r="AE103" s="508" t="str">
        <f>IF(R103="","",INDEX(Odds!H:H,MATCH(R103,Odds!G:G,0)))</f>
        <v/>
      </c>
      <c r="AF103" s="508" t="str">
        <f>IF(INDEX(Table!S:S,MATCH(A103,Table!F:F,0))="N","N","")</f>
        <v/>
      </c>
      <c r="AG103" s="58"/>
      <c r="AH103" s="58"/>
      <c r="AI103" s="405"/>
      <c r="AJ103" s="58"/>
    </row>
    <row r="104" spans="1:36" ht="13.9" thickTop="1" thickBot="1">
      <c r="A104" s="604" t="str">
        <f>Results!B104</f>
        <v>Nigel Heyes</v>
      </c>
      <c r="B104" s="604" t="str">
        <f>INDEX(Table!E:E,MATCH(A104,Table!F:F,0))</f>
        <v>A</v>
      </c>
      <c r="C104" s="645">
        <f>INDEX(Table!D:D,MATCH(A104,Table!F:F,0))</f>
        <v>4</v>
      </c>
      <c r="D104" s="649">
        <f>INDEX(Table!I:I,MATCH(A104,Table!F:F,0))</f>
        <v>-10.369008264462805</v>
      </c>
      <c r="E104" s="605" t="str">
        <f t="shared" si="7"/>
        <v>Chesterfield</v>
      </c>
      <c r="F104" s="606">
        <f>IF(M104="","",INDEX(Odds!C:C,MATCH(M104,Odds!G:G,0)))</f>
        <v>7</v>
      </c>
      <c r="G104" s="607">
        <f t="shared" si="8"/>
        <v>2.15</v>
      </c>
      <c r="H104" s="614" t="str">
        <f t="shared" si="10"/>
        <v>x</v>
      </c>
      <c r="I104" s="668">
        <f>IF(M104="",-10,INDEX(Results!T:T,MATCH(A104,Results!V:V,0)))</f>
        <v>-7</v>
      </c>
      <c r="J104" s="610">
        <f>IF(M104="","",INDEX(Results!AI:AI,MATCH(A104,Results!V:V,0)))</f>
        <v>21.783249999999999</v>
      </c>
      <c r="K104" s="348" t="str">
        <f>IF(INDEX(Table!Q:Q,MATCH(A104,Table!F:F,0))="N","N","Y")</f>
        <v>Y</v>
      </c>
      <c r="L104" s="347">
        <f>INDEX(Picks!AJ:AJ,MATCH(A104,Picks!AG:AG,0))</f>
        <v>40</v>
      </c>
      <c r="M104" s="407" t="s">
        <v>565</v>
      </c>
      <c r="N104" s="624" t="str">
        <f>INDEX(Odds!H:H,MATCH(M104,Odds!G:G,0))</f>
        <v>23/20</v>
      </c>
      <c r="O104" s="625">
        <f>INDEX(Odds!I:I,MATCH(M104,Odds!G:G,0))</f>
        <v>2.15</v>
      </c>
      <c r="P104" s="633">
        <f>INDEX(Odds!J:J,MATCH(M104,Odds!G:G,0))</f>
        <v>0</v>
      </c>
      <c r="Q104" s="627">
        <f t="shared" si="12"/>
        <v>0</v>
      </c>
      <c r="R104" s="504"/>
      <c r="S104" s="58"/>
      <c r="U104" s="35" t="str">
        <f>IF(Odds!G104="","",Odds!G104)</f>
        <v>Peterbro</v>
      </c>
      <c r="V104" s="36" t="str">
        <f>INDEX(Odds!H:H,MATCH(U104,Odds!G:G,0))</f>
        <v>11/2</v>
      </c>
      <c r="W104" s="40">
        <f t="shared" si="11"/>
        <v>0</v>
      </c>
      <c r="AB104" s="8">
        <f>INDEX(Odds!K:K,MATCH(M104,Odds!G:G,0))</f>
        <v>1</v>
      </c>
      <c r="AE104" s="507" t="str">
        <f>IF(R104="","",INDEX(Odds!H:H,MATCH(R104,Odds!G:G,0)))</f>
        <v/>
      </c>
      <c r="AF104" s="507" t="str">
        <f>IF(INDEX(Table!S:S,MATCH(A104,Table!F:F,0))="N","N","")</f>
        <v/>
      </c>
      <c r="AG104" s="58"/>
      <c r="AH104" s="58"/>
      <c r="AI104" s="405"/>
      <c r="AJ104" s="58"/>
    </row>
    <row r="105" spans="1:36">
      <c r="A105" s="611" t="str">
        <f>A104</f>
        <v>Nigel Heyes</v>
      </c>
      <c r="B105" s="611"/>
      <c r="C105" s="646"/>
      <c r="D105" s="650"/>
      <c r="E105" s="612" t="str">
        <f t="shared" si="7"/>
        <v>Rotherham</v>
      </c>
      <c r="F105" s="606">
        <f>IF(M105="","",INDEX(Odds!C:C,MATCH(M105,Odds!G:G,0)))</f>
        <v>7</v>
      </c>
      <c r="G105" s="613">
        <f t="shared" si="8"/>
        <v>2.1</v>
      </c>
      <c r="H105" s="614" t="str">
        <f t="shared" si="10"/>
        <v>x</v>
      </c>
      <c r="I105" s="615"/>
      <c r="J105" s="616"/>
      <c r="K105" s="348">
        <f>IF(J104="",0,1)</f>
        <v>1</v>
      </c>
      <c r="L105" s="348"/>
      <c r="M105" s="407" t="s">
        <v>566</v>
      </c>
      <c r="N105" s="628" t="str">
        <f>INDEX(Odds!H:H,MATCH(M105,Odds!G:G,0))</f>
        <v>11/10</v>
      </c>
      <c r="O105" s="629">
        <f>INDEX(Odds!I:I,MATCH(M105,Odds!G:G,0))</f>
        <v>2.1</v>
      </c>
      <c r="P105" s="626">
        <f>INDEX(Odds!J:J,MATCH(M105,Odds!G:G,0))</f>
        <v>0</v>
      </c>
      <c r="Q105" s="627">
        <f t="shared" si="12"/>
        <v>0</v>
      </c>
      <c r="R105" s="504"/>
      <c r="S105" s="58"/>
      <c r="U105" s="35" t="str">
        <f>IF(Odds!G105="","",Odds!G105)</f>
        <v>Reading</v>
      </c>
      <c r="V105" s="36" t="str">
        <f>INDEX(Odds!H:H,MATCH(U105,Odds!G:G,0))</f>
        <v>6/4</v>
      </c>
      <c r="W105" s="40">
        <f t="shared" si="11"/>
        <v>0</v>
      </c>
      <c r="AB105" s="8">
        <f>INDEX(Odds!K:K,MATCH(M105,Odds!G:G,0))</f>
        <v>1</v>
      </c>
      <c r="AE105" s="507" t="str">
        <f>IF(R105="","",INDEX(Odds!H:H,MATCH(R105,Odds!G:G,0)))</f>
        <v/>
      </c>
      <c r="AF105" s="507" t="str">
        <f>IF(INDEX(Table!S:S,MATCH(A105,Table!F:F,0))="N","N","")</f>
        <v/>
      </c>
      <c r="AG105" s="58"/>
      <c r="AH105" s="58"/>
      <c r="AI105" s="405"/>
      <c r="AJ105" s="58"/>
    </row>
    <row r="106" spans="1:36" ht="13.5" thickBot="1">
      <c r="A106" s="617" t="str">
        <f>A104</f>
        <v>Nigel Heyes</v>
      </c>
      <c r="B106" s="617"/>
      <c r="C106" s="647"/>
      <c r="D106" s="651"/>
      <c r="E106" s="618" t="str">
        <f t="shared" si="7"/>
        <v>Swindon</v>
      </c>
      <c r="F106" s="619">
        <f>IF(M106="","",INDEX(Odds!C:C,MATCH(M106,Odds!G:G,0)))</f>
        <v>7</v>
      </c>
      <c r="G106" s="620">
        <f t="shared" si="8"/>
        <v>2.0499999999999998</v>
      </c>
      <c r="H106" s="614" t="str">
        <f t="shared" si="10"/>
        <v>x</v>
      </c>
      <c r="I106" s="615"/>
      <c r="J106" s="616"/>
      <c r="K106" s="348"/>
      <c r="L106" s="348"/>
      <c r="M106" s="408" t="s">
        <v>571</v>
      </c>
      <c r="N106" s="630" t="str">
        <f>INDEX(Odds!H:H,MATCH(M106,Odds!G:G,0))</f>
        <v>21/20</v>
      </c>
      <c r="O106" s="631">
        <f>INDEX(Odds!I:I,MATCH(M106,Odds!G:G,0))</f>
        <v>2.0499999999999998</v>
      </c>
      <c r="P106" s="626">
        <f>INDEX(Odds!J:J,MATCH(M106,Odds!G:G,0))</f>
        <v>0</v>
      </c>
      <c r="Q106" s="632">
        <f t="shared" si="12"/>
        <v>0</v>
      </c>
      <c r="R106" s="505"/>
      <c r="S106" s="58"/>
      <c r="U106" s="35" t="str">
        <f>IF(Odds!G106="","",Odds!G106)</f>
        <v>Exeter</v>
      </c>
      <c r="V106" s="36" t="str">
        <f>INDEX(Odds!H:H,MATCH(U106,Odds!G:G,0))</f>
        <v>3/1</v>
      </c>
      <c r="W106" s="40">
        <f t="shared" si="11"/>
        <v>0</v>
      </c>
      <c r="AB106" s="8">
        <f>INDEX(Odds!K:K,MATCH(M106,Odds!G:G,0))</f>
        <v>1</v>
      </c>
      <c r="AE106" s="508" t="str">
        <f>IF(R106="","",INDEX(Odds!H:H,MATCH(R106,Odds!G:G,0)))</f>
        <v/>
      </c>
      <c r="AF106" s="508" t="str">
        <f>IF(INDEX(Table!S:S,MATCH(A106,Table!F:F,0))="N","N","")</f>
        <v/>
      </c>
      <c r="AG106" s="58"/>
      <c r="AH106" s="58"/>
      <c r="AI106" s="405"/>
      <c r="AJ106" s="58"/>
    </row>
    <row r="107" spans="1:36" ht="13.9" thickTop="1" thickBot="1">
      <c r="A107" s="604" t="str">
        <f>Results!B107</f>
        <v>Paul Adderley</v>
      </c>
      <c r="B107" s="604" t="str">
        <f>INDEX(Table!E:E,MATCH(A107,Table!F:F,0))</f>
        <v>C</v>
      </c>
      <c r="C107" s="645">
        <f>INDEX(Table!D:D,MATCH(A107,Table!F:F,0))</f>
        <v>9</v>
      </c>
      <c r="D107" s="649">
        <f>INDEX(Table!I:I,MATCH(A107,Table!F:F,0))</f>
        <v>-16.026616161616161</v>
      </c>
      <c r="E107" s="605" t="str">
        <f t="shared" ref="E107:E133" si="13">IF(M107="","",M107)</f>
        <v>Cambridge</v>
      </c>
      <c r="F107" s="606">
        <f>IF(M107="","",INDEX(Odds!C:C,MATCH(M107,Odds!G:G,0)))</f>
        <v>7</v>
      </c>
      <c r="G107" s="607">
        <f t="shared" ref="G107:G133" si="14">IF(M107="","",O107)</f>
        <v>1.8</v>
      </c>
      <c r="H107" s="608" t="str">
        <f t="shared" si="10"/>
        <v>x</v>
      </c>
      <c r="I107" s="609">
        <f>IF(M107="",-10,INDEX(Results!T:T,MATCH(A107,Results!V:V,0)))</f>
        <v>-5.2727272727272725</v>
      </c>
      <c r="J107" s="610">
        <f>IF(M107="","",INDEX(Results!AI:AI,MATCH(A107,Results!V:V,0)))</f>
        <v>11.972027972027973</v>
      </c>
      <c r="K107" s="348" t="str">
        <f>IF(INDEX(Table!Q:Q,MATCH(A107,Table!F:F,0))="N","N","Y")</f>
        <v>Y</v>
      </c>
      <c r="L107" s="347">
        <f>INDEX(Picks!AJ:AJ,MATCH(A107,Picks!AG:AG,0))</f>
        <v>29</v>
      </c>
      <c r="M107" s="407" t="s">
        <v>552</v>
      </c>
      <c r="N107" s="624" t="str">
        <f>INDEX(Odds!H:H,MATCH(M107,Odds!G:G,0))</f>
        <v>4/5</v>
      </c>
      <c r="O107" s="625">
        <f>INDEX(Odds!I:I,MATCH(M107,Odds!G:G,0))</f>
        <v>1.8</v>
      </c>
      <c r="P107" s="633">
        <f>INDEX(Odds!J:J,MATCH(M107,Odds!G:G,0))</f>
        <v>0</v>
      </c>
      <c r="Q107" s="627">
        <f t="shared" si="12"/>
        <v>0</v>
      </c>
      <c r="R107" s="504"/>
      <c r="S107" s="58"/>
      <c r="U107" s="35" t="str">
        <f>IF(Odds!G107="","",Odds!G107)</f>
        <v>Chesterfield</v>
      </c>
      <c r="V107" s="36" t="str">
        <f>INDEX(Odds!H:H,MATCH(U107,Odds!G:G,0))</f>
        <v>23/20</v>
      </c>
      <c r="W107" s="40">
        <f t="shared" si="11"/>
        <v>0</v>
      </c>
      <c r="AB107" s="8">
        <f>INDEX(Odds!K:K,MATCH(M107,Odds!G:G,0))</f>
        <v>1</v>
      </c>
      <c r="AE107" s="507" t="str">
        <f>IF(R107="","",INDEX(Odds!H:H,MATCH(R107,Odds!G:G,0)))</f>
        <v/>
      </c>
      <c r="AF107" s="507" t="str">
        <f>IF(INDEX(Table!S:S,MATCH(A107,Table!F:F,0))="N","N","")</f>
        <v/>
      </c>
      <c r="AG107" s="58"/>
      <c r="AH107" s="58"/>
      <c r="AI107" s="405"/>
      <c r="AJ107" s="58"/>
    </row>
    <row r="108" spans="1:36">
      <c r="A108" s="611" t="str">
        <f>A107</f>
        <v>Paul Adderley</v>
      </c>
      <c r="B108" s="611"/>
      <c r="C108" s="646"/>
      <c r="D108" s="650"/>
      <c r="E108" s="612" t="str">
        <f t="shared" si="13"/>
        <v>Plymouth</v>
      </c>
      <c r="F108" s="606">
        <f>IF(M108="","",INDEX(Odds!C:C,MATCH(M108,Odds!G:G,0)))</f>
        <v>7</v>
      </c>
      <c r="G108" s="613">
        <f t="shared" si="14"/>
        <v>1.6153846153846154</v>
      </c>
      <c r="H108" s="614" t="str">
        <f t="shared" si="10"/>
        <v>x</v>
      </c>
      <c r="I108" s="615"/>
      <c r="J108" s="616"/>
      <c r="K108" s="348">
        <f>IF(J107="",0,1)</f>
        <v>1</v>
      </c>
      <c r="L108" s="348"/>
      <c r="M108" s="407" t="s">
        <v>554</v>
      </c>
      <c r="N108" s="628" t="str">
        <f>INDEX(Odds!H:H,MATCH(M108,Odds!G:G,0))</f>
        <v>8/13</v>
      </c>
      <c r="O108" s="629">
        <f>INDEX(Odds!I:I,MATCH(M108,Odds!G:G,0))</f>
        <v>1.6153846153846154</v>
      </c>
      <c r="P108" s="626">
        <f>INDEX(Odds!J:J,MATCH(M108,Odds!G:G,0))</f>
        <v>0</v>
      </c>
      <c r="Q108" s="627">
        <f t="shared" si="12"/>
        <v>0</v>
      </c>
      <c r="R108" s="504"/>
      <c r="S108" s="58"/>
      <c r="U108" s="35" t="str">
        <f>IF(Odds!G108="","",Odds!G108)</f>
        <v>Rochdale</v>
      </c>
      <c r="V108" s="36" t="str">
        <f>INDEX(Odds!H:H,MATCH(U108,Odds!G:G,0))</f>
        <v>14/5</v>
      </c>
      <c r="W108" s="40">
        <f t="shared" si="11"/>
        <v>1</v>
      </c>
      <c r="AB108" s="8">
        <f>INDEX(Odds!K:K,MATCH(M108,Odds!G:G,0))</f>
        <v>1</v>
      </c>
      <c r="AE108" s="507" t="str">
        <f>IF(R108="","",INDEX(Odds!H:H,MATCH(R108,Odds!G:G,0)))</f>
        <v/>
      </c>
      <c r="AF108" s="507" t="str">
        <f>IF(INDEX(Table!S:S,MATCH(A108,Table!F:F,0))="N","N","")</f>
        <v/>
      </c>
      <c r="AG108" s="58"/>
      <c r="AH108" s="58"/>
      <c r="AI108" s="405"/>
      <c r="AJ108" s="58"/>
    </row>
    <row r="109" spans="1:36" ht="13.5" thickBot="1">
      <c r="A109" s="617" t="str">
        <f>A107</f>
        <v>Paul Adderley</v>
      </c>
      <c r="B109" s="617"/>
      <c r="C109" s="647"/>
      <c r="D109" s="651"/>
      <c r="E109" s="618" t="str">
        <f t="shared" si="13"/>
        <v>Bristol R</v>
      </c>
      <c r="F109" s="619">
        <f>IF(M109="","",INDEX(Odds!C:C,MATCH(M109,Odds!G:G,0)))</f>
        <v>7</v>
      </c>
      <c r="G109" s="620">
        <f t="shared" si="14"/>
        <v>1.7272727272727273</v>
      </c>
      <c r="H109" s="614" t="str">
        <f t="shared" si="10"/>
        <v>√</v>
      </c>
      <c r="I109" s="615"/>
      <c r="J109" s="616"/>
      <c r="K109" s="348"/>
      <c r="L109" s="348"/>
      <c r="M109" s="408" t="s">
        <v>527</v>
      </c>
      <c r="N109" s="630" t="str">
        <f>INDEX(Odds!H:H,MATCH(M109,Odds!G:G,0))</f>
        <v>8/11</v>
      </c>
      <c r="O109" s="631">
        <f>INDEX(Odds!I:I,MATCH(M109,Odds!G:G,0))</f>
        <v>1.7272727272727273</v>
      </c>
      <c r="P109" s="626">
        <f>INDEX(Odds!J:J,MATCH(M109,Odds!G:G,0))</f>
        <v>1</v>
      </c>
      <c r="Q109" s="632">
        <f t="shared" si="12"/>
        <v>1.7272727272727273</v>
      </c>
      <c r="R109" s="505"/>
      <c r="S109" s="58"/>
      <c r="U109" s="35" t="str">
        <f>IF(Odds!G109="","",Odds!G109)</f>
        <v>Grimsby</v>
      </c>
      <c r="V109" s="36" t="str">
        <f>INDEX(Odds!H:H,MATCH(U109,Odds!G:G,0))</f>
        <v>4/5</v>
      </c>
      <c r="W109" s="40">
        <f t="shared" si="11"/>
        <v>0</v>
      </c>
      <c r="AB109" s="8">
        <f>INDEX(Odds!K:K,MATCH(M109,Odds!G:G,0))</f>
        <v>1</v>
      </c>
      <c r="AE109" s="508" t="str">
        <f>IF(R109="","",INDEX(Odds!H:H,MATCH(R109,Odds!G:G,0)))</f>
        <v/>
      </c>
      <c r="AF109" s="508" t="str">
        <f>IF(INDEX(Table!S:S,MATCH(A109,Table!F:F,0))="N","N","")</f>
        <v/>
      </c>
      <c r="AG109" s="58"/>
      <c r="AH109" s="58"/>
      <c r="AI109" s="405"/>
      <c r="AJ109" s="58"/>
    </row>
    <row r="110" spans="1:36" ht="13.9" thickTop="1" thickBot="1">
      <c r="A110" s="604" t="str">
        <f>Results!B110</f>
        <v>Paul Allen</v>
      </c>
      <c r="B110" s="604" t="str">
        <f>INDEX(Table!E:E,MATCH(A110,Table!F:F,0))</f>
        <v>A</v>
      </c>
      <c r="C110" s="645">
        <f>INDEX(Table!D:D,MATCH(A110,Table!F:F,0))</f>
        <v>16</v>
      </c>
      <c r="D110" s="649">
        <f>INDEX(Table!I:I,MATCH(A110,Table!F:F,0))</f>
        <v>-38.678571428571431</v>
      </c>
      <c r="E110" s="605" t="str">
        <f t="shared" si="13"/>
        <v>Italy draw</v>
      </c>
      <c r="F110" s="606">
        <f>IF(M110="","",INDEX(Odds!C:C,MATCH(M110,Odds!G:G,0)))</f>
        <v>6</v>
      </c>
      <c r="G110" s="607">
        <f t="shared" si="14"/>
        <v>3.4</v>
      </c>
      <c r="H110" s="608" t="str">
        <f t="shared" si="10"/>
        <v>x</v>
      </c>
      <c r="I110" s="609">
        <f>IF(M110="",-10,INDEX(Results!T:T,MATCH(A110,Results!V:V,0)))</f>
        <v>-7</v>
      </c>
      <c r="J110" s="610">
        <f>IF(M110="","",INDEX(Results!AI:AI,MATCH(A110,Results!V:V,0)))</f>
        <v>69.571999999999989</v>
      </c>
      <c r="K110" s="348" t="str">
        <f>IF(INDEX(Table!Q:Q,MATCH(A110,Table!F:F,0))="N","N","Y")</f>
        <v>Y</v>
      </c>
      <c r="L110" s="347">
        <f>INDEX(Picks!AJ:AJ,MATCH(A110,Picks!AG:AG,0))</f>
        <v>40</v>
      </c>
      <c r="M110" s="407" t="s">
        <v>646</v>
      </c>
      <c r="N110" s="624" t="str">
        <f>INDEX(Odds!H:H,MATCH(M110,Odds!G:G,0))</f>
        <v>12/5</v>
      </c>
      <c r="O110" s="625">
        <f>INDEX(Odds!I:I,MATCH(M110,Odds!G:G,0))</f>
        <v>3.4</v>
      </c>
      <c r="P110" s="633">
        <f>INDEX(Odds!J:J,MATCH(M110,Odds!G:G,0))</f>
        <v>0</v>
      </c>
      <c r="Q110" s="627">
        <f t="shared" si="12"/>
        <v>0</v>
      </c>
      <c r="R110" s="504"/>
      <c r="S110" s="58"/>
      <c r="U110" s="35" t="str">
        <f>IF(Odds!G110="","",Odds!G110)</f>
        <v>Salford</v>
      </c>
      <c r="V110" s="36" t="str">
        <f>INDEX(Odds!H:H,MATCH(U110,Odds!G:G,0))</f>
        <v>17/20</v>
      </c>
      <c r="W110" s="40">
        <f t="shared" si="11"/>
        <v>1</v>
      </c>
      <c r="AB110" s="8">
        <f>INDEX(Odds!K:K,MATCH(M110,Odds!G:G,0))</f>
        <v>1</v>
      </c>
      <c r="AE110" s="507" t="str">
        <f>IF(R110="","",INDEX(Odds!H:H,MATCH(R110,Odds!G:G,0)))</f>
        <v/>
      </c>
      <c r="AF110" s="507" t="str">
        <f>IF(INDEX(Table!S:S,MATCH(A110,Table!F:F,0))="N","N","")</f>
        <v/>
      </c>
      <c r="AG110" s="58"/>
      <c r="AH110" s="58"/>
      <c r="AI110" s="405"/>
      <c r="AJ110" s="58"/>
    </row>
    <row r="111" spans="1:36">
      <c r="A111" s="611" t="str">
        <f>A110</f>
        <v>Paul Allen</v>
      </c>
      <c r="B111" s="611"/>
      <c r="C111" s="646"/>
      <c r="D111" s="650"/>
      <c r="E111" s="612" t="str">
        <f t="shared" si="13"/>
        <v>Czech draw</v>
      </c>
      <c r="F111" s="606">
        <f>IF(M111="","",INDEX(Odds!C:C,MATCH(M111,Odds!G:G,0)))</f>
        <v>7</v>
      </c>
      <c r="G111" s="613">
        <f t="shared" si="14"/>
        <v>3.3</v>
      </c>
      <c r="H111" s="614" t="str">
        <f t="shared" si="10"/>
        <v>x</v>
      </c>
      <c r="I111" s="615"/>
      <c r="J111" s="616"/>
      <c r="K111" s="348">
        <f>IF(J110="",0,1)</f>
        <v>1</v>
      </c>
      <c r="L111" s="348"/>
      <c r="M111" s="407" t="s">
        <v>648</v>
      </c>
      <c r="N111" s="628" t="str">
        <f>INDEX(Odds!H:H,MATCH(M111,Odds!G:G,0))</f>
        <v>23/10</v>
      </c>
      <c r="O111" s="629">
        <f>INDEX(Odds!I:I,MATCH(M111,Odds!G:G,0))</f>
        <v>3.3</v>
      </c>
      <c r="P111" s="626">
        <f>INDEX(Odds!J:J,MATCH(M111,Odds!G:G,0))</f>
        <v>0</v>
      </c>
      <c r="Q111" s="627">
        <f t="shared" si="12"/>
        <v>0</v>
      </c>
      <c r="R111" s="504"/>
      <c r="S111" s="58"/>
      <c r="U111" s="35" t="str">
        <f>IF(Odds!G111="","",Odds!G111)</f>
        <v>Crewe</v>
      </c>
      <c r="V111" s="36" t="str">
        <f>INDEX(Odds!H:H,MATCH(U111,Odds!G:G,0))</f>
        <v>21/10</v>
      </c>
      <c r="W111" s="40">
        <f t="shared" si="11"/>
        <v>0</v>
      </c>
      <c r="AB111" s="8">
        <f>INDEX(Odds!K:K,MATCH(M111,Odds!G:G,0))</f>
        <v>1</v>
      </c>
      <c r="AE111" s="507" t="str">
        <f>IF(R111="","",INDEX(Odds!H:H,MATCH(R111,Odds!G:G,0)))</f>
        <v/>
      </c>
      <c r="AF111" s="507" t="str">
        <f>IF(INDEX(Table!S:S,MATCH(A111,Table!F:F,0))="N","N","")</f>
        <v/>
      </c>
      <c r="AG111" s="58"/>
      <c r="AH111" s="58"/>
      <c r="AI111" s="405"/>
      <c r="AJ111" s="58"/>
    </row>
    <row r="112" spans="1:36" ht="13.5" thickBot="1">
      <c r="A112" s="617" t="str">
        <f>A110</f>
        <v>Paul Allen</v>
      </c>
      <c r="B112" s="617"/>
      <c r="C112" s="647"/>
      <c r="D112" s="651"/>
      <c r="E112" s="618" t="str">
        <f t="shared" si="13"/>
        <v>England draw</v>
      </c>
      <c r="F112" s="619">
        <f>IF(M112="","",INDEX(Odds!C:C,MATCH(M112,Odds!G:G,0)))</f>
        <v>7</v>
      </c>
      <c r="G112" s="620">
        <f t="shared" si="14"/>
        <v>3.1</v>
      </c>
      <c r="H112" s="614" t="str">
        <f t="shared" si="10"/>
        <v>x</v>
      </c>
      <c r="I112" s="615"/>
      <c r="J112" s="616"/>
      <c r="K112" s="348"/>
      <c r="L112" s="348"/>
      <c r="M112" s="408" t="s">
        <v>647</v>
      </c>
      <c r="N112" s="630" t="str">
        <f>INDEX(Odds!H:H,MATCH(M112,Odds!G:G,0))</f>
        <v>21/10</v>
      </c>
      <c r="O112" s="631">
        <f>INDEX(Odds!I:I,MATCH(M112,Odds!G:G,0))</f>
        <v>3.1</v>
      </c>
      <c r="P112" s="626">
        <f>INDEX(Odds!J:J,MATCH(M112,Odds!G:G,0))</f>
        <v>0</v>
      </c>
      <c r="Q112" s="632">
        <f t="shared" si="12"/>
        <v>0</v>
      </c>
      <c r="R112" s="505"/>
      <c r="S112" s="58"/>
      <c r="U112" s="35" t="str">
        <f>IF(Odds!G112="","",Odds!G112)</f>
        <v>Colchester</v>
      </c>
      <c r="V112" s="36" t="str">
        <f>INDEX(Odds!H:H,MATCH(U112,Odds!G:G,0))</f>
        <v>17/10</v>
      </c>
      <c r="W112" s="40">
        <f t="shared" si="11"/>
        <v>0</v>
      </c>
      <c r="AB112" s="8">
        <f>INDEX(Odds!K:K,MATCH(M112,Odds!G:G,0))</f>
        <v>1</v>
      </c>
      <c r="AE112" s="508" t="str">
        <f>IF(R112="","",INDEX(Odds!H:H,MATCH(R112,Odds!G:G,0)))</f>
        <v/>
      </c>
      <c r="AF112" s="508" t="str">
        <f>IF(INDEX(Table!S:S,MATCH(A112,Table!F:F,0))="N","N","")</f>
        <v/>
      </c>
      <c r="AG112" s="58"/>
      <c r="AH112" s="58"/>
      <c r="AI112" s="405"/>
      <c r="AJ112" s="58"/>
    </row>
    <row r="113" spans="1:36" ht="13.9" thickTop="1" thickBot="1">
      <c r="A113" s="604" t="str">
        <f>Results!B113</f>
        <v>Paul Barnes</v>
      </c>
      <c r="B113" s="604" t="str">
        <f>INDEX(Table!E:E,MATCH(A113,Table!F:F,0))</f>
        <v>A</v>
      </c>
      <c r="C113" s="645">
        <f>INDEX(Table!D:D,MATCH(A113,Table!F:F,0))</f>
        <v>1</v>
      </c>
      <c r="D113" s="649">
        <f>INDEX(Table!I:I,MATCH(A113,Table!F:F,0))</f>
        <v>3.859444444444442</v>
      </c>
      <c r="E113" s="605" t="str">
        <f t="shared" si="13"/>
        <v>Sweden</v>
      </c>
      <c r="F113" s="606">
        <f>IF(M113="","",INDEX(Odds!C:C,MATCH(M113,Odds!G:G,0)))</f>
        <v>6</v>
      </c>
      <c r="G113" s="607">
        <f t="shared" si="14"/>
        <v>1.5</v>
      </c>
      <c r="H113" s="608" t="str">
        <f t="shared" si="10"/>
        <v>√</v>
      </c>
      <c r="I113" s="609">
        <f>IF(M113="",-10,INDEX(Results!T:T,MATCH(A113,Results!V:V,0)))</f>
        <v>15.625</v>
      </c>
      <c r="J113" s="610">
        <f>IF(M113="","",INDEX(Results!AI:AI,MATCH(A113,Results!V:V,0)))</f>
        <v>15.625</v>
      </c>
      <c r="K113" s="348" t="str">
        <f>IF(INDEX(Table!Q:Q,MATCH(A113,Table!F:F,0))="N","N","Y")</f>
        <v>Y</v>
      </c>
      <c r="L113" s="347">
        <f>INDEX(Picks!AJ:AJ,MATCH(A113,Picks!AG:AG,0))</f>
        <v>2</v>
      </c>
      <c r="M113" s="407" t="s">
        <v>588</v>
      </c>
      <c r="N113" s="624" t="str">
        <f>INDEX(Odds!H:H,MATCH(M113,Odds!G:G,0))</f>
        <v>1/2</v>
      </c>
      <c r="O113" s="625">
        <f>INDEX(Odds!I:I,MATCH(M113,Odds!G:G,0))</f>
        <v>1.5</v>
      </c>
      <c r="P113" s="633">
        <f>INDEX(Odds!J:J,MATCH(M113,Odds!G:G,0))</f>
        <v>1</v>
      </c>
      <c r="Q113" s="627">
        <f t="shared" si="12"/>
        <v>1.5</v>
      </c>
      <c r="R113" s="504"/>
      <c r="S113" s="58"/>
      <c r="U113" s="35" t="str">
        <f>IF(Odds!G113="","",Odds!G113)</f>
        <v>Accrington</v>
      </c>
      <c r="V113" s="36" t="str">
        <f>INDEX(Odds!H:H,MATCH(U113,Odds!G:G,0))</f>
        <v>11/5</v>
      </c>
      <c r="W113" s="40">
        <f t="shared" si="11"/>
        <v>0</v>
      </c>
      <c r="AB113" s="8">
        <f>INDEX(Odds!K:K,MATCH(M113,Odds!G:G,0))</f>
        <v>1</v>
      </c>
      <c r="AE113" s="507" t="str">
        <f>IF(R113="","",INDEX(Odds!H:H,MATCH(R113,Odds!G:G,0)))</f>
        <v/>
      </c>
      <c r="AF113" s="507" t="str">
        <f>IF(INDEX(Table!S:S,MATCH(A113,Table!F:F,0))="N","N","")</f>
        <v/>
      </c>
      <c r="AG113" s="58"/>
      <c r="AH113" s="58"/>
      <c r="AI113" s="405"/>
      <c r="AJ113" s="58"/>
    </row>
    <row r="114" spans="1:36">
      <c r="A114" s="611" t="str">
        <f>A113</f>
        <v>Paul Barnes</v>
      </c>
      <c r="B114" s="611"/>
      <c r="C114" s="646"/>
      <c r="D114" s="650"/>
      <c r="E114" s="612" t="str">
        <f t="shared" si="13"/>
        <v>Montenegro</v>
      </c>
      <c r="F114" s="606">
        <f>IF(M114="","",INDEX(Odds!C:C,MATCH(M114,Odds!G:G,0)))</f>
        <v>6</v>
      </c>
      <c r="G114" s="613">
        <f t="shared" si="14"/>
        <v>1.7</v>
      </c>
      <c r="H114" s="614" t="str">
        <f t="shared" si="10"/>
        <v>√</v>
      </c>
      <c r="I114" s="615"/>
      <c r="J114" s="616"/>
      <c r="K114" s="348">
        <f>IF(J113="",0,1)</f>
        <v>1</v>
      </c>
      <c r="L114" s="348"/>
      <c r="M114" s="407" t="s">
        <v>584</v>
      </c>
      <c r="N114" s="628" t="str">
        <f>INDEX(Odds!H:H,MATCH(M114,Odds!G:G,0))</f>
        <v>7/10</v>
      </c>
      <c r="O114" s="629">
        <f>INDEX(Odds!I:I,MATCH(M114,Odds!G:G,0))</f>
        <v>1.7</v>
      </c>
      <c r="P114" s="626">
        <f>INDEX(Odds!J:J,MATCH(M114,Odds!G:G,0))</f>
        <v>1</v>
      </c>
      <c r="Q114" s="627">
        <f t="shared" si="12"/>
        <v>1.7</v>
      </c>
      <c r="R114" s="504"/>
      <c r="S114" s="58"/>
      <c r="U114" s="35" t="str">
        <f>IF(Odds!G114="","",Odds!G114)</f>
        <v>Walsall</v>
      </c>
      <c r="V114" s="36" t="str">
        <f>INDEX(Odds!H:H,MATCH(U114,Odds!G:G,0))</f>
        <v>17/10</v>
      </c>
      <c r="W114" s="40">
        <f t="shared" si="11"/>
        <v>0</v>
      </c>
      <c r="AB114" s="8">
        <f>INDEX(Odds!K:K,MATCH(M114,Odds!G:G,0))</f>
        <v>1</v>
      </c>
      <c r="AE114" s="507" t="str">
        <f>IF(R114="","",INDEX(Odds!H:H,MATCH(R114,Odds!G:G,0)))</f>
        <v/>
      </c>
      <c r="AF114" s="507" t="str">
        <f>IF(INDEX(Table!S:S,MATCH(A114,Table!F:F,0))="N","N","")</f>
        <v/>
      </c>
      <c r="AG114" s="58"/>
      <c r="AH114" s="58"/>
      <c r="AI114" s="405"/>
      <c r="AJ114" s="58"/>
    </row>
    <row r="115" spans="1:36" ht="13.5" thickBot="1">
      <c r="A115" s="617" t="str">
        <f>A113</f>
        <v>Paul Barnes</v>
      </c>
      <c r="B115" s="617"/>
      <c r="C115" s="647"/>
      <c r="D115" s="651"/>
      <c r="E115" s="618" t="str">
        <f t="shared" si="13"/>
        <v>Portugal</v>
      </c>
      <c r="F115" s="619">
        <f>IF(M115="","",INDEX(Odds!C:C,MATCH(M115,Odds!G:G,0)))</f>
        <v>1</v>
      </c>
      <c r="G115" s="620">
        <f t="shared" si="14"/>
        <v>2.5</v>
      </c>
      <c r="H115" s="614" t="str">
        <f t="shared" si="10"/>
        <v>√</v>
      </c>
      <c r="I115" s="615"/>
      <c r="J115" s="616"/>
      <c r="K115" s="348"/>
      <c r="L115" s="348"/>
      <c r="M115" s="408" t="s">
        <v>636</v>
      </c>
      <c r="N115" s="630" t="str">
        <f>INDEX(Odds!H:H,MATCH(M115,Odds!G:G,0))</f>
        <v>6/4</v>
      </c>
      <c r="O115" s="631">
        <f>INDEX(Odds!I:I,MATCH(M115,Odds!G:G,0))</f>
        <v>2.5</v>
      </c>
      <c r="P115" s="626">
        <f>INDEX(Odds!J:J,MATCH(M115,Odds!G:G,0))</f>
        <v>1</v>
      </c>
      <c r="Q115" s="632">
        <f t="shared" si="12"/>
        <v>2.5</v>
      </c>
      <c r="R115" s="505"/>
      <c r="S115" s="58"/>
      <c r="U115" s="35" t="str">
        <f>IF(Odds!G115="","",Odds!G115)</f>
        <v>Gillingham</v>
      </c>
      <c r="V115" s="36" t="str">
        <f>INDEX(Odds!H:H,MATCH(U115,Odds!G:G,0))</f>
        <v>4/1</v>
      </c>
      <c r="W115" s="40">
        <f t="shared" si="11"/>
        <v>0</v>
      </c>
      <c r="AB115" s="8">
        <f>INDEX(Odds!K:K,MATCH(M115,Odds!G:G,0))</f>
        <v>1</v>
      </c>
      <c r="AE115" s="508" t="str">
        <f>IF(R115="","",INDEX(Odds!H:H,MATCH(R115,Odds!G:G,0)))</f>
        <v/>
      </c>
      <c r="AF115" s="508" t="str">
        <f>IF(INDEX(Table!S:S,MATCH(A115,Table!F:F,0))="N","N","")</f>
        <v/>
      </c>
      <c r="AG115" s="58"/>
      <c r="AH115" s="58"/>
      <c r="AI115" s="405"/>
      <c r="AJ115" s="58"/>
    </row>
    <row r="116" spans="1:36" ht="13.9" thickTop="1" thickBot="1">
      <c r="A116" s="604" t="str">
        <f>Results!B116</f>
        <v>Paul Fairhurst</v>
      </c>
      <c r="B116" s="604" t="str">
        <f>INDEX(Table!E:E,MATCH(A116,Table!F:F,0))</f>
        <v>B</v>
      </c>
      <c r="C116" s="645">
        <f>INDEX(Table!D:D,MATCH(A116,Table!F:F,0))</f>
        <v>1</v>
      </c>
      <c r="D116" s="649">
        <f>INDEX(Table!I:I,MATCH(A116,Table!F:F,0))</f>
        <v>36.950000000000003</v>
      </c>
      <c r="E116" s="605" t="str">
        <f t="shared" si="13"/>
        <v>Spain</v>
      </c>
      <c r="F116" s="606">
        <f>IF(M116="","",INDEX(Odds!C:C,MATCH(M116,Odds!G:G,0)))</f>
        <v>7</v>
      </c>
      <c r="G116" s="607">
        <f t="shared" si="14"/>
        <v>2.4</v>
      </c>
      <c r="H116" s="608" t="str">
        <f t="shared" si="10"/>
        <v>√</v>
      </c>
      <c r="I116" s="609">
        <f>IF(M116="",-10,INDEX(Results!T:T,MATCH(A116,Results!V:V,0)))</f>
        <v>16.990000000000002</v>
      </c>
      <c r="J116" s="610">
        <f>IF(M116="","",INDEX(Results!AI:AI,MATCH(A116,Results!V:V,0)))</f>
        <v>16.990000000000002</v>
      </c>
      <c r="K116" s="348" t="str">
        <f>IF(INDEX(Table!Q:Q,MATCH(A116,Table!F:F,0))="N","N","Y")</f>
        <v>Y</v>
      </c>
      <c r="L116" s="347">
        <f>INDEX(Picks!AJ:AJ,MATCH(A116,Picks!AG:AG,0))</f>
        <v>1</v>
      </c>
      <c r="M116" s="407" t="s">
        <v>601</v>
      </c>
      <c r="N116" s="624" t="str">
        <f>INDEX(Odds!H:H,MATCH(M116,Odds!G:G,0))</f>
        <v>7/5</v>
      </c>
      <c r="O116" s="625">
        <f>INDEX(Odds!I:I,MATCH(M116,Odds!G:G,0))</f>
        <v>2.4</v>
      </c>
      <c r="P116" s="633">
        <f>INDEX(Odds!J:J,MATCH(M116,Odds!G:G,0))</f>
        <v>1</v>
      </c>
      <c r="Q116" s="627">
        <f t="shared" si="12"/>
        <v>2.4</v>
      </c>
      <c r="R116" s="504"/>
      <c r="S116" s="58"/>
      <c r="U116" s="35" t="str">
        <f>IF(Odds!G116="","",Odds!G116)</f>
        <v>Belarus</v>
      </c>
      <c r="V116" s="36" t="str">
        <f>INDEX(Odds!H:H,MATCH(U116,Odds!G:G,0))</f>
        <v>6/1</v>
      </c>
      <c r="W116" s="40">
        <f t="shared" si="11"/>
        <v>0</v>
      </c>
      <c r="AB116" s="8">
        <f>INDEX(Odds!K:K,MATCH(M116,Odds!G:G,0))</f>
        <v>1</v>
      </c>
      <c r="AE116" s="507" t="str">
        <f>IF(R116="","",INDEX(Odds!H:H,MATCH(R116,Odds!G:G,0)))</f>
        <v/>
      </c>
      <c r="AF116" s="507" t="str">
        <f>IF(INDEX(Table!S:S,MATCH(A116,Table!F:F,0))="N","N","")</f>
        <v/>
      </c>
      <c r="AG116" s="58"/>
      <c r="AH116" s="58"/>
      <c r="AI116" s="405"/>
      <c r="AJ116" s="58"/>
    </row>
    <row r="117" spans="1:36">
      <c r="A117" s="611" t="str">
        <f>A116</f>
        <v>Paul Fairhurst</v>
      </c>
      <c r="B117" s="611"/>
      <c r="C117" s="646"/>
      <c r="D117" s="650"/>
      <c r="E117" s="612" t="str">
        <f t="shared" si="13"/>
        <v>Finland</v>
      </c>
      <c r="F117" s="606">
        <f>IF(M117="","",INDEX(Odds!C:C,MATCH(M117,Odds!G:G,0)))</f>
        <v>7</v>
      </c>
      <c r="G117" s="613">
        <f t="shared" si="14"/>
        <v>1.1000000000000001</v>
      </c>
      <c r="H117" s="614" t="str">
        <f t="shared" si="10"/>
        <v>√</v>
      </c>
      <c r="I117" s="615"/>
      <c r="J117" s="616"/>
      <c r="K117" s="348">
        <f>IF(J116="",0,1)</f>
        <v>1</v>
      </c>
      <c r="L117" s="348"/>
      <c r="M117" s="407" t="s">
        <v>609</v>
      </c>
      <c r="N117" s="628" t="str">
        <f>INDEX(Odds!H:H,MATCH(M117,Odds!G:G,0))</f>
        <v>1/10</v>
      </c>
      <c r="O117" s="629">
        <f>INDEX(Odds!I:I,MATCH(M117,Odds!G:G,0))</f>
        <v>1.1000000000000001</v>
      </c>
      <c r="P117" s="626">
        <f>INDEX(Odds!J:J,MATCH(M117,Odds!G:G,0))</f>
        <v>1</v>
      </c>
      <c r="Q117" s="627">
        <f t="shared" si="12"/>
        <v>1.1000000000000001</v>
      </c>
      <c r="R117" s="504"/>
      <c r="S117" s="58"/>
      <c r="U117" s="35" t="str">
        <f>IF(Odds!G117="","",Odds!G117)</f>
        <v>Luxembourg</v>
      </c>
      <c r="V117" s="36" t="str">
        <f>INDEX(Odds!H:H,MATCH(U117,Odds!G:G,0))</f>
        <v>23/10</v>
      </c>
      <c r="W117" s="40">
        <f t="shared" si="11"/>
        <v>1</v>
      </c>
      <c r="AB117" s="8">
        <f>INDEX(Odds!K:K,MATCH(M117,Odds!G:G,0))</f>
        <v>1</v>
      </c>
      <c r="AE117" s="507" t="str">
        <f>IF(R117="","",INDEX(Odds!H:H,MATCH(R117,Odds!G:G,0)))</f>
        <v/>
      </c>
      <c r="AF117" s="507" t="str">
        <f>IF(INDEX(Table!S:S,MATCH(A117,Table!F:F,0))="N","N","")</f>
        <v/>
      </c>
      <c r="AG117" s="58"/>
      <c r="AH117" s="58"/>
      <c r="AI117" s="405"/>
      <c r="AJ117" s="58"/>
    </row>
    <row r="118" spans="1:36" ht="13.5" thickBot="1">
      <c r="A118" s="617" t="str">
        <f>A116</f>
        <v>Paul Fairhurst</v>
      </c>
      <c r="B118" s="617"/>
      <c r="C118" s="647"/>
      <c r="D118" s="651"/>
      <c r="E118" s="618" t="str">
        <f t="shared" si="13"/>
        <v>Portugal</v>
      </c>
      <c r="F118" s="619">
        <f>IF(M118="","",INDEX(Odds!C:C,MATCH(M118,Odds!G:G,0)))</f>
        <v>1</v>
      </c>
      <c r="G118" s="620">
        <f t="shared" si="14"/>
        <v>2.5</v>
      </c>
      <c r="H118" s="614" t="str">
        <f t="shared" si="10"/>
        <v>√</v>
      </c>
      <c r="I118" s="615"/>
      <c r="J118" s="616"/>
      <c r="K118" s="348"/>
      <c r="L118" s="348"/>
      <c r="M118" s="408" t="s">
        <v>636</v>
      </c>
      <c r="N118" s="630" t="str">
        <f>INDEX(Odds!H:H,MATCH(M118,Odds!G:G,0))</f>
        <v>6/4</v>
      </c>
      <c r="O118" s="631">
        <f>INDEX(Odds!I:I,MATCH(M118,Odds!G:G,0))</f>
        <v>2.5</v>
      </c>
      <c r="P118" s="626">
        <f>INDEX(Odds!J:J,MATCH(M118,Odds!G:G,0))</f>
        <v>1</v>
      </c>
      <c r="Q118" s="632">
        <f t="shared" si="12"/>
        <v>2.5</v>
      </c>
      <c r="R118" s="505"/>
      <c r="S118" s="58"/>
      <c r="U118" s="35" t="str">
        <f>IF(Odds!G118="","",Odds!G118)</f>
        <v>Croatia</v>
      </c>
      <c r="V118" s="36" t="str">
        <f>INDEX(Odds!H:H,MATCH(U118,Odds!G:G,0))</f>
        <v>23/20</v>
      </c>
      <c r="W118" s="40">
        <f t="shared" si="11"/>
        <v>1</v>
      </c>
      <c r="AB118" s="8">
        <f>INDEX(Odds!K:K,MATCH(M118,Odds!G:G,0))</f>
        <v>1</v>
      </c>
      <c r="AE118" s="508" t="str">
        <f>IF(R118="","",INDEX(Odds!H:H,MATCH(R118,Odds!G:G,0)))</f>
        <v/>
      </c>
      <c r="AF118" s="508" t="str">
        <f>IF(INDEX(Table!S:S,MATCH(A118,Table!F:F,0))="N","N","")</f>
        <v/>
      </c>
      <c r="AG118" s="58"/>
      <c r="AH118" s="58"/>
      <c r="AI118" s="405"/>
      <c r="AJ118" s="58"/>
    </row>
    <row r="119" spans="1:36" ht="13.9" thickTop="1" thickBot="1">
      <c r="A119" s="604" t="str">
        <f>Results!B119</f>
        <v>Phil Miller</v>
      </c>
      <c r="B119" s="604" t="str">
        <f>INDEX(Table!E:E,MATCH(A119,Table!F:F,0))</f>
        <v>B</v>
      </c>
      <c r="C119" s="645">
        <f>INDEX(Table!D:D,MATCH(A119,Table!F:F,0))</f>
        <v>2</v>
      </c>
      <c r="D119" s="649">
        <f>INDEX(Table!I:I,MATCH(A119,Table!F:F,0))</f>
        <v>22.785085914085911</v>
      </c>
      <c r="E119" s="605" t="str">
        <f t="shared" si="13"/>
        <v>Armenia</v>
      </c>
      <c r="F119" s="606">
        <f>IF(M119="","",INDEX(Odds!C:C,MATCH(M119,Odds!G:G,0)))</f>
        <v>6</v>
      </c>
      <c r="G119" s="607">
        <f t="shared" si="14"/>
        <v>1.7</v>
      </c>
      <c r="H119" s="608" t="str">
        <f t="shared" si="10"/>
        <v>√</v>
      </c>
      <c r="I119" s="609">
        <f>IF(M119="",-10,INDEX(Results!T:T,MATCH(A119,Results!V:V,0)))</f>
        <v>-1.4000000000000004</v>
      </c>
      <c r="J119" s="610">
        <f>IF(M119="","",INDEX(Results!AI:AI,MATCH(A119,Results!V:V,0)))</f>
        <v>7.0857142857142854</v>
      </c>
      <c r="K119" s="348" t="str">
        <f>IF(INDEX(Table!Q:Q,MATCH(A119,Table!F:F,0))="N","N","Y")</f>
        <v>Y</v>
      </c>
      <c r="L119" s="347">
        <f>INDEX(Picks!AJ:AJ,MATCH(A119,Picks!AG:AG,0))</f>
        <v>14</v>
      </c>
      <c r="M119" s="407" t="s">
        <v>576</v>
      </c>
      <c r="N119" s="624" t="str">
        <f>INDEX(Odds!H:H,MATCH(M119,Odds!G:G,0))</f>
        <v>7/10</v>
      </c>
      <c r="O119" s="625">
        <f>INDEX(Odds!I:I,MATCH(M119,Odds!G:G,0))</f>
        <v>1.7</v>
      </c>
      <c r="P119" s="633">
        <f>INDEX(Odds!J:J,MATCH(M119,Odds!G:G,0))</f>
        <v>1</v>
      </c>
      <c r="Q119" s="627">
        <f t="shared" si="12"/>
        <v>1.7</v>
      </c>
      <c r="R119" s="504"/>
      <c r="S119" s="58"/>
      <c r="U119" s="35" t="str">
        <f>IF(Odds!G119="","",Odds!G119)</f>
        <v>Spain</v>
      </c>
      <c r="V119" s="36" t="str">
        <f>INDEX(Odds!H:H,MATCH(U119,Odds!G:G,0))</f>
        <v>7/5</v>
      </c>
      <c r="W119" s="40">
        <f t="shared" si="11"/>
        <v>1</v>
      </c>
      <c r="AB119" s="8">
        <f>INDEX(Odds!K:K,MATCH(M119,Odds!G:G,0))</f>
        <v>1</v>
      </c>
      <c r="AE119" s="507" t="str">
        <f>IF(R119="","",INDEX(Odds!H:H,MATCH(R119,Odds!G:G,0)))</f>
        <v/>
      </c>
      <c r="AF119" s="507" t="str">
        <f>IF(INDEX(Table!S:S,MATCH(A119,Table!F:F,0))="N","N","")</f>
        <v/>
      </c>
      <c r="AG119" s="58"/>
      <c r="AH119" s="58"/>
      <c r="AI119" s="405"/>
      <c r="AJ119" s="58"/>
    </row>
    <row r="120" spans="1:36">
      <c r="A120" s="611" t="str">
        <f>A119</f>
        <v>Phil Miller</v>
      </c>
      <c r="B120" s="611"/>
      <c r="C120" s="646"/>
      <c r="D120" s="650"/>
      <c r="E120" s="612" t="str">
        <f>IF(M120="","",M120)</f>
        <v>France</v>
      </c>
      <c r="F120" s="606">
        <f>IF(M120="","",INDEX(Odds!C:C,MATCH(M120,Odds!G:G,0)))</f>
        <v>6</v>
      </c>
      <c r="G120" s="613">
        <f t="shared" si="14"/>
        <v>1.4444444444444444</v>
      </c>
      <c r="H120" s="614" t="str">
        <f t="shared" si="10"/>
        <v>√</v>
      </c>
      <c r="I120" s="615"/>
      <c r="J120" s="616"/>
      <c r="K120" s="348">
        <f>IF(J119="",0,1)</f>
        <v>1</v>
      </c>
      <c r="L120" s="348"/>
      <c r="M120" s="407" t="s">
        <v>591</v>
      </c>
      <c r="N120" s="628" t="str">
        <f>INDEX(Odds!H:H,MATCH(M120,Odds!G:G,0))</f>
        <v>4/9</v>
      </c>
      <c r="O120" s="629">
        <f>INDEX(Odds!I:I,MATCH(M120,Odds!G:G,0))</f>
        <v>1.4444444444444444</v>
      </c>
      <c r="P120" s="626">
        <f>INDEX(Odds!J:J,MATCH(M120,Odds!G:G,0))</f>
        <v>1</v>
      </c>
      <c r="Q120" s="627">
        <f t="shared" si="12"/>
        <v>1.4444444444444444</v>
      </c>
      <c r="R120" s="504"/>
      <c r="S120" s="58"/>
      <c r="U120" s="35" t="str">
        <f>IF(Odds!G120="","",Odds!G120)</f>
        <v>Kazakhstan</v>
      </c>
      <c r="V120" s="36" t="str">
        <f>INDEX(Odds!H:H,MATCH(U120,Odds!G:G,0))</f>
        <v>21/10</v>
      </c>
      <c r="W120" s="40">
        <f t="shared" si="11"/>
        <v>0</v>
      </c>
      <c r="AB120" s="8">
        <f>INDEX(Odds!K:K,MATCH(M120,Odds!G:G,0))</f>
        <v>1</v>
      </c>
      <c r="AE120" s="507" t="str">
        <f>IF(R120="","",INDEX(Odds!H:H,MATCH(R120,Odds!G:G,0)))</f>
        <v/>
      </c>
      <c r="AF120" s="507" t="str">
        <f>IF(INDEX(Table!S:S,MATCH(A120,Table!F:F,0))="N","N","")</f>
        <v/>
      </c>
      <c r="AG120" s="58"/>
      <c r="AH120" s="58"/>
      <c r="AI120" s="405"/>
      <c r="AJ120" s="58"/>
    </row>
    <row r="121" spans="1:36" ht="13.5" thickBot="1">
      <c r="A121" s="617" t="str">
        <f>A119</f>
        <v>Phil Miller</v>
      </c>
      <c r="B121" s="617"/>
      <c r="C121" s="647"/>
      <c r="D121" s="651"/>
      <c r="E121" s="618" t="str">
        <f t="shared" si="13"/>
        <v>Iceland</v>
      </c>
      <c r="F121" s="619">
        <f>IF(M121="","",INDEX(Odds!C:C,MATCH(M121,Odds!G:G,0)))</f>
        <v>7</v>
      </c>
      <c r="G121" s="620">
        <f t="shared" si="14"/>
        <v>1.2857142857142856</v>
      </c>
      <c r="H121" s="614" t="str">
        <f t="shared" si="10"/>
        <v>x</v>
      </c>
      <c r="I121" s="615"/>
      <c r="J121" s="616"/>
      <c r="K121" s="348"/>
      <c r="L121" s="348"/>
      <c r="M121" s="573" t="s">
        <v>604</v>
      </c>
      <c r="N121" s="630" t="str">
        <f>INDEX(Odds!H:H,MATCH(M121,Odds!G:G,0))</f>
        <v>2/7</v>
      </c>
      <c r="O121" s="631">
        <f>INDEX(Odds!I:I,MATCH(M121,Odds!G:G,0))</f>
        <v>1.2857142857142856</v>
      </c>
      <c r="P121" s="626">
        <f>INDEX(Odds!J:J,MATCH(M121,Odds!G:G,0))</f>
        <v>0</v>
      </c>
      <c r="Q121" s="632">
        <f t="shared" si="12"/>
        <v>0</v>
      </c>
      <c r="R121" s="505"/>
      <c r="S121" s="58"/>
      <c r="U121" s="35" t="str">
        <f>IF(Odds!G121="","",Odds!G121)</f>
        <v>Estonia</v>
      </c>
      <c r="V121" s="36" t="str">
        <f>INDEX(Odds!H:H,MATCH(U121,Odds!G:G,0))</f>
        <v>9/1</v>
      </c>
      <c r="W121" s="40">
        <f t="shared" si="11"/>
        <v>0</v>
      </c>
      <c r="AB121" s="8">
        <f>INDEX(Odds!K:K,MATCH(M121,Odds!G:G,0))</f>
        <v>1</v>
      </c>
      <c r="AE121" s="508" t="str">
        <f>IF(R121="","",INDEX(Odds!H:H,MATCH(R121,Odds!G:G,0)))</f>
        <v/>
      </c>
      <c r="AF121" s="508" t="str">
        <f>IF(INDEX(Table!S:S,MATCH(A121,Table!F:F,0))="N","N","")</f>
        <v/>
      </c>
      <c r="AG121" s="58"/>
      <c r="AH121" s="58"/>
      <c r="AI121" s="405"/>
      <c r="AJ121" s="58"/>
    </row>
    <row r="122" spans="1:36" ht="13.9" thickTop="1" thickBot="1">
      <c r="A122" s="604" t="str">
        <f>Results!B122</f>
        <v>Rob England</v>
      </c>
      <c r="B122" s="604" t="str">
        <f>INDEX(Table!E:E,MATCH(A122,Table!F:F,0))</f>
        <v>A</v>
      </c>
      <c r="C122" s="645">
        <f>INDEX(Table!D:D,MATCH(A122,Table!F:F,0))</f>
        <v>3</v>
      </c>
      <c r="D122" s="649">
        <f>INDEX(Table!I:I,MATCH(A122,Table!F:F,0))</f>
        <v>-8.6989177489177489</v>
      </c>
      <c r="E122" s="605" t="str">
        <f t="shared" si="13"/>
        <v>Plymouth</v>
      </c>
      <c r="F122" s="606">
        <f>IF(M122="","",INDEX(Odds!C:C,MATCH(M122,Odds!G:G,0)))</f>
        <v>7</v>
      </c>
      <c r="G122" s="607">
        <f t="shared" si="14"/>
        <v>1.6153846153846154</v>
      </c>
      <c r="H122" s="608" t="str">
        <f t="shared" si="10"/>
        <v>x</v>
      </c>
      <c r="I122" s="609">
        <f>IF(M122="",-10,INDEX(Results!T:T,MATCH(A122,Results!V:V,0)))</f>
        <v>-5.6363636363636367</v>
      </c>
      <c r="J122" s="610">
        <f>IF(M122="","",INDEX(Results!AI:AI,MATCH(A122,Results!V:V,0)))</f>
        <v>9.3090909090909122</v>
      </c>
      <c r="K122" s="348" t="str">
        <f>IF(INDEX(Table!Q:Q,MATCH(A122,Table!F:F,0))="N","N","Y")</f>
        <v>Y</v>
      </c>
      <c r="L122" s="347">
        <f>INDEX(Picks!AJ:AJ,MATCH(A122,Picks!AG:AG,0))</f>
        <v>35</v>
      </c>
      <c r="M122" s="407" t="s">
        <v>554</v>
      </c>
      <c r="N122" s="624" t="str">
        <f>INDEX(Odds!H:H,MATCH(M122,Odds!G:G,0))</f>
        <v>8/13</v>
      </c>
      <c r="O122" s="625">
        <f>INDEX(Odds!I:I,MATCH(M122,Odds!G:G,0))</f>
        <v>1.6153846153846154</v>
      </c>
      <c r="P122" s="633">
        <f>INDEX(Odds!J:J,MATCH(M122,Odds!G:G,0))</f>
        <v>0</v>
      </c>
      <c r="Q122" s="627">
        <f t="shared" si="12"/>
        <v>0</v>
      </c>
      <c r="R122" s="504"/>
      <c r="S122" s="58"/>
      <c r="U122" s="35" t="str">
        <f>IF(Odds!G122="","",Odds!G122)</f>
        <v>Switzerland</v>
      </c>
      <c r="V122" s="36" t="str">
        <f>INDEX(Odds!H:H,MATCH(U122,Odds!G:G,0))</f>
        <v>4/11</v>
      </c>
      <c r="W122" s="40">
        <f t="shared" si="11"/>
        <v>1</v>
      </c>
      <c r="AB122" s="8">
        <f>INDEX(Odds!K:K,MATCH(M122,Odds!G:G,0))</f>
        <v>1</v>
      </c>
      <c r="AE122" s="507" t="str">
        <f>IF(R122="","",INDEX(Odds!H:H,MATCH(R122,Odds!G:G,0)))</f>
        <v/>
      </c>
      <c r="AF122" s="507" t="str">
        <f>IF(INDEX(Table!S:S,MATCH(A122,Table!F:F,0))="N","N","")</f>
        <v/>
      </c>
      <c r="AG122" s="58"/>
      <c r="AH122" s="58"/>
      <c r="AI122" s="405"/>
      <c r="AJ122" s="58"/>
    </row>
    <row r="123" spans="1:36">
      <c r="A123" s="611" t="str">
        <f>A122</f>
        <v>Rob England</v>
      </c>
      <c r="B123" s="611"/>
      <c r="C123" s="646"/>
      <c r="D123" s="650"/>
      <c r="E123" s="612" t="str">
        <f t="shared" si="13"/>
        <v>Stockport</v>
      </c>
      <c r="F123" s="606">
        <f>IF(M123="","",INDEX(Odds!C:C,MATCH(M123,Odds!G:G,0)))</f>
        <v>7</v>
      </c>
      <c r="G123" s="613">
        <f t="shared" si="14"/>
        <v>1.3636363636363638</v>
      </c>
      <c r="H123" s="614" t="str">
        <f t="shared" si="10"/>
        <v>√</v>
      </c>
      <c r="I123" s="615"/>
      <c r="J123" s="616"/>
      <c r="K123" s="348">
        <f>IF(J122="",0,1)</f>
        <v>1</v>
      </c>
      <c r="L123" s="348"/>
      <c r="M123" s="407" t="s">
        <v>645</v>
      </c>
      <c r="N123" s="628" t="str">
        <f>INDEX(Odds!H:H,MATCH(M123,Odds!G:G,0))</f>
        <v>4/11</v>
      </c>
      <c r="O123" s="629">
        <f>INDEX(Odds!I:I,MATCH(M123,Odds!G:G,0))</f>
        <v>1.3636363636363638</v>
      </c>
      <c r="P123" s="626">
        <f>INDEX(Odds!J:J,MATCH(M123,Odds!G:G,0))</f>
        <v>1</v>
      </c>
      <c r="Q123" s="627">
        <f t="shared" si="12"/>
        <v>1.3636363636363638</v>
      </c>
      <c r="R123" s="504"/>
      <c r="S123" s="58"/>
      <c r="U123" s="35" t="str">
        <f>IF(Odds!G123="","",Odds!G123)</f>
        <v>Finland</v>
      </c>
      <c r="V123" s="36" t="str">
        <f>INDEX(Odds!H:H,MATCH(U123,Odds!G:G,0))</f>
        <v>1/10</v>
      </c>
      <c r="W123" s="40">
        <f t="shared" si="11"/>
        <v>1</v>
      </c>
      <c r="AB123" s="8">
        <f>INDEX(Odds!K:K,MATCH(M123,Odds!G:G,0))</f>
        <v>1</v>
      </c>
      <c r="AE123" s="507" t="str">
        <f>IF(R123="","",INDEX(Odds!H:H,MATCH(R123,Odds!G:G,0)))</f>
        <v/>
      </c>
      <c r="AF123" s="507" t="str">
        <f>IF(INDEX(Table!S:S,MATCH(A123,Table!F:F,0))="N","N","")</f>
        <v/>
      </c>
      <c r="AG123" s="58"/>
      <c r="AH123" s="58"/>
      <c r="AI123" s="405"/>
      <c r="AJ123" s="58"/>
    </row>
    <row r="124" spans="1:36" ht="13.5" thickBot="1">
      <c r="A124" s="617" t="str">
        <f>A122</f>
        <v>Rob England</v>
      </c>
      <c r="B124" s="617"/>
      <c r="C124" s="647"/>
      <c r="D124" s="651"/>
      <c r="E124" s="618" t="str">
        <f t="shared" si="13"/>
        <v>Grimsby</v>
      </c>
      <c r="F124" s="619">
        <f>IF(M124="","",INDEX(Odds!C:C,MATCH(M124,Odds!G:G,0)))</f>
        <v>7</v>
      </c>
      <c r="G124" s="620">
        <f t="shared" si="14"/>
        <v>1.8</v>
      </c>
      <c r="H124" s="614" t="str">
        <f t="shared" si="10"/>
        <v>x</v>
      </c>
      <c r="I124" s="615"/>
      <c r="J124" s="616"/>
      <c r="K124" s="348"/>
      <c r="L124" s="348"/>
      <c r="M124" s="408" t="s">
        <v>561</v>
      </c>
      <c r="N124" s="630" t="str">
        <f>INDEX(Odds!H:H,MATCH(M124,Odds!G:G,0))</f>
        <v>4/5</v>
      </c>
      <c r="O124" s="631">
        <f>INDEX(Odds!I:I,MATCH(M124,Odds!G:G,0))</f>
        <v>1.8</v>
      </c>
      <c r="P124" s="626">
        <f>INDEX(Odds!J:J,MATCH(M124,Odds!G:G,0))</f>
        <v>0</v>
      </c>
      <c r="Q124" s="632">
        <f t="shared" si="12"/>
        <v>0</v>
      </c>
      <c r="R124" s="505"/>
      <c r="S124" s="58"/>
      <c r="U124" s="35" t="str">
        <f>IF(Odds!G124="","",Odds!G124)</f>
        <v>Moldova</v>
      </c>
      <c r="V124" s="36" t="str">
        <f>INDEX(Odds!H:H,MATCH(U124,Odds!G:G,0))</f>
        <v>10/1</v>
      </c>
      <c r="W124" s="40">
        <f t="shared" si="11"/>
        <v>0</v>
      </c>
      <c r="AB124" s="8">
        <f>INDEX(Odds!K:K,MATCH(M124,Odds!G:G,0))</f>
        <v>1</v>
      </c>
      <c r="AE124" s="508" t="str">
        <f>IF(R124="","",INDEX(Odds!H:H,MATCH(R124,Odds!G:G,0)))</f>
        <v/>
      </c>
      <c r="AF124" s="508" t="str">
        <f>IF(INDEX(Table!S:S,MATCH(A124,Table!F:F,0))="N","N","")</f>
        <v/>
      </c>
      <c r="AG124" s="58"/>
      <c r="AH124" s="58"/>
      <c r="AI124" s="405"/>
      <c r="AJ124" s="58"/>
    </row>
    <row r="125" spans="1:36" ht="13.9" thickTop="1" thickBot="1">
      <c r="A125" s="604" t="str">
        <f>Results!B125</f>
        <v>Simon Greenhalgh</v>
      </c>
      <c r="B125" s="604" t="str">
        <f>INDEX(Table!E:E,MATCH(A125,Table!F:F,0))</f>
        <v>A</v>
      </c>
      <c r="C125" s="645">
        <f>INDEX(Table!D:D,MATCH(A125,Table!F:F,0))</f>
        <v>12</v>
      </c>
      <c r="D125" s="649">
        <f>INDEX(Table!I:I,MATCH(A125,Table!F:F,0))</f>
        <v>-27.5</v>
      </c>
      <c r="E125" s="605" t="str">
        <f t="shared" si="13"/>
        <v>Plymouth</v>
      </c>
      <c r="F125" s="606">
        <f>IF(M125="","",INDEX(Odds!C:C,MATCH(M125,Odds!G:G,0)))</f>
        <v>7</v>
      </c>
      <c r="G125" s="607">
        <f t="shared" si="14"/>
        <v>1.6153846153846154</v>
      </c>
      <c r="H125" s="608" t="str">
        <f t="shared" si="10"/>
        <v>x</v>
      </c>
      <c r="I125" s="609">
        <f>IF(M125="",-10,INDEX(Results!T:T,MATCH(A125,Results!V:V,0)))</f>
        <v>-1.75</v>
      </c>
      <c r="J125" s="610">
        <f>IF(M125="","",INDEX(Results!AI:AI,MATCH(A125,Results!V:V,0)))</f>
        <v>8.3461538461538467</v>
      </c>
      <c r="K125" s="348" t="str">
        <f>IF(INDEX(Table!Q:Q,MATCH(A125,Table!F:F,0))="N","N","Y")</f>
        <v>Y</v>
      </c>
      <c r="L125" s="347">
        <f>INDEX(Picks!AJ:AJ,MATCH(A125,Picks!AG:AG,0))</f>
        <v>16</v>
      </c>
      <c r="M125" s="407" t="s">
        <v>554</v>
      </c>
      <c r="N125" s="624" t="str">
        <f>INDEX(Odds!H:H,MATCH(M125,Odds!G:G,0))</f>
        <v>8/13</v>
      </c>
      <c r="O125" s="625">
        <f>INDEX(Odds!I:I,MATCH(M125,Odds!G:G,0))</f>
        <v>1.6153846153846154</v>
      </c>
      <c r="P125" s="633">
        <f>INDEX(Odds!J:J,MATCH(M125,Odds!G:G,0))</f>
        <v>0</v>
      </c>
      <c r="Q125" s="627">
        <f t="shared" si="12"/>
        <v>0</v>
      </c>
      <c r="R125" s="504"/>
      <c r="S125" s="58"/>
      <c r="U125" s="35" t="str">
        <f>IF(Odds!G125="","",Odds!G125)</f>
        <v>Scotland</v>
      </c>
      <c r="V125" s="36" t="str">
        <f>INDEX(Odds!H:H,MATCH(U125,Odds!G:G,0))</f>
        <v>17/10</v>
      </c>
      <c r="W125" s="40">
        <f t="shared" si="11"/>
        <v>0</v>
      </c>
      <c r="AB125" s="8">
        <f>INDEX(Odds!K:K,MATCH(M125,Odds!G:G,0))</f>
        <v>1</v>
      </c>
      <c r="AE125" s="507" t="str">
        <f>IF(R125="","",INDEX(Odds!H:H,MATCH(R125,Odds!G:G,0)))</f>
        <v/>
      </c>
      <c r="AF125" s="507" t="str">
        <f>IF(INDEX(Table!S:S,MATCH(A125,Table!F:F,0))="N","N","")</f>
        <v/>
      </c>
      <c r="AG125" s="58"/>
      <c r="AH125" s="58"/>
      <c r="AI125" s="405"/>
      <c r="AJ125" s="58"/>
    </row>
    <row r="126" spans="1:36">
      <c r="A126" s="611" t="str">
        <f>A125</f>
        <v>Simon Greenhalgh</v>
      </c>
      <c r="B126" s="611"/>
      <c r="C126" s="646"/>
      <c r="D126" s="650"/>
      <c r="E126" s="612" t="str">
        <f t="shared" si="13"/>
        <v>Albania</v>
      </c>
      <c r="F126" s="606">
        <f>IF(M126="","",INDEX(Odds!C:C,MATCH(M126,Odds!G:G,0)))</f>
        <v>7</v>
      </c>
      <c r="G126" s="613">
        <f t="shared" si="14"/>
        <v>1.5</v>
      </c>
      <c r="H126" s="614" t="str">
        <f t="shared" si="10"/>
        <v>√</v>
      </c>
      <c r="I126" s="615"/>
      <c r="J126" s="616"/>
      <c r="K126" s="348">
        <f>IF(J125="",0,1)</f>
        <v>1</v>
      </c>
      <c r="L126" s="348"/>
      <c r="M126" s="407" t="s">
        <v>594</v>
      </c>
      <c r="N126" s="628" t="str">
        <f>INDEX(Odds!H:H,MATCH(M126,Odds!G:G,0))</f>
        <v>1/2</v>
      </c>
      <c r="O126" s="629">
        <f>INDEX(Odds!I:I,MATCH(M126,Odds!G:G,0))</f>
        <v>1.5</v>
      </c>
      <c r="P126" s="626">
        <f>INDEX(Odds!J:J,MATCH(M126,Odds!G:G,0))</f>
        <v>1</v>
      </c>
      <c r="Q126" s="627">
        <f t="shared" si="12"/>
        <v>1.5</v>
      </c>
      <c r="R126" s="504"/>
      <c r="S126" s="58"/>
      <c r="U126" s="35" t="str">
        <f>IF(Odds!G126="","",Odds!G126)</f>
        <v>Tamworth</v>
      </c>
      <c r="V126" s="36" t="str">
        <f>INDEX(Odds!H:H,MATCH(U126,Odds!G:G,0))</f>
        <v>6/4</v>
      </c>
      <c r="W126" s="40">
        <f t="shared" si="11"/>
        <v>0</v>
      </c>
      <c r="AB126" s="8">
        <f>INDEX(Odds!K:K,MATCH(M126,Odds!G:G,0))</f>
        <v>1</v>
      </c>
      <c r="AE126" s="507" t="str">
        <f>IF(R126="","",INDEX(Odds!H:H,MATCH(R126,Odds!G:G,0)))</f>
        <v/>
      </c>
      <c r="AF126" s="507" t="str">
        <f>IF(INDEX(Table!S:S,MATCH(A126,Table!F:F,0))="N","N","")</f>
        <v/>
      </c>
      <c r="AG126" s="58"/>
      <c r="AH126" s="58"/>
      <c r="AI126" s="405"/>
      <c r="AJ126" s="58"/>
    </row>
    <row r="127" spans="1:36" ht="13.5" thickBot="1">
      <c r="A127" s="617" t="str">
        <f>A125</f>
        <v>Simon Greenhalgh</v>
      </c>
      <c r="B127" s="617"/>
      <c r="C127" s="647"/>
      <c r="D127" s="651"/>
      <c r="E127" s="618" t="str">
        <f t="shared" si="13"/>
        <v>York</v>
      </c>
      <c r="F127" s="619">
        <f>IF(M127="","",INDEX(Odds!C:C,MATCH(M127,Odds!G:G,0)))</f>
        <v>7</v>
      </c>
      <c r="G127" s="620">
        <f t="shared" si="14"/>
        <v>1.5</v>
      </c>
      <c r="H127" s="614" t="str">
        <f t="shared" si="10"/>
        <v>√</v>
      </c>
      <c r="I127" s="615"/>
      <c r="J127" s="616"/>
      <c r="K127" s="348"/>
      <c r="L127" s="348"/>
      <c r="M127" s="408" t="s">
        <v>570</v>
      </c>
      <c r="N127" s="630" t="str">
        <f>INDEX(Odds!H:H,MATCH(M127,Odds!G:G,0))</f>
        <v>1/2</v>
      </c>
      <c r="O127" s="631">
        <f>INDEX(Odds!I:I,MATCH(M127,Odds!G:G,0))</f>
        <v>1.5</v>
      </c>
      <c r="P127" s="626">
        <f>INDEX(Odds!J:J,MATCH(M127,Odds!G:G,0))</f>
        <v>1</v>
      </c>
      <c r="Q127" s="632">
        <f t="shared" si="12"/>
        <v>1.5</v>
      </c>
      <c r="R127" s="505"/>
      <c r="S127" s="58"/>
      <c r="U127" s="35" t="str">
        <f>IF(Odds!G127="","",Odds!G127)</f>
        <v>AFC Hornchurch</v>
      </c>
      <c r="V127" s="36" t="str">
        <f>INDEX(Odds!H:H,MATCH(U127,Odds!G:G,0))</f>
        <v>19/10</v>
      </c>
      <c r="W127" s="40">
        <f t="shared" si="11"/>
        <v>0</v>
      </c>
      <c r="AB127" s="8">
        <f>INDEX(Odds!K:K,MATCH(M127,Odds!G:G,0))</f>
        <v>1</v>
      </c>
      <c r="AE127" s="508" t="str">
        <f>IF(R127="","",INDEX(Odds!H:H,MATCH(R127,Odds!G:G,0)))</f>
        <v/>
      </c>
      <c r="AF127" s="508" t="str">
        <f>IF(INDEX(Table!S:S,MATCH(A127,Table!F:F,0))="N","N","")</f>
        <v/>
      </c>
      <c r="AG127" s="58"/>
      <c r="AH127" s="58"/>
      <c r="AI127" s="405"/>
      <c r="AJ127" s="58"/>
    </row>
    <row r="128" spans="1:36" ht="13.9" thickTop="1" thickBot="1">
      <c r="A128" s="604" t="str">
        <f>Results!B128</f>
        <v>Simon Kimble</v>
      </c>
      <c r="B128" s="604" t="str">
        <f>INDEX(Table!E:E,MATCH(A128,Table!F:F,0))</f>
        <v>C</v>
      </c>
      <c r="C128" s="645">
        <f>INDEX(Table!D:D,MATCH(A128,Table!F:F,0))</f>
        <v>2</v>
      </c>
      <c r="D128" s="649">
        <f>INDEX(Table!I:I,MATCH(A128,Table!F:F,0))</f>
        <v>17.555000000000003</v>
      </c>
      <c r="E128" s="605" t="str">
        <f t="shared" si="13"/>
        <v>Wycombe</v>
      </c>
      <c r="F128" s="606">
        <f>IF(M128="","",INDEX(Odds!C:C,MATCH(M128,Odds!G:G,0)))</f>
        <v>7</v>
      </c>
      <c r="G128" s="607">
        <f t="shared" si="14"/>
        <v>2.4500000000000002</v>
      </c>
      <c r="H128" s="608" t="str">
        <f t="shared" ref="H128:H133" si="15">IF(M128="","",IF(P128=1,"√","x"))</f>
        <v>x</v>
      </c>
      <c r="I128" s="609">
        <f>IF(M128="",-10,INDEX(Results!T:T,MATCH(A128,Results!V:V,0)))</f>
        <v>-7</v>
      </c>
      <c r="J128" s="610">
        <f>IF(M128="","",INDEX(Results!AI:AI,MATCH(A128,Results!V:V,0)))</f>
        <v>50.719000000000001</v>
      </c>
      <c r="K128" s="348" t="str">
        <f>IF(INDEX(Table!Q:Q,MATCH(A128,Table!F:F,0))="N","N","Y")</f>
        <v>Y</v>
      </c>
      <c r="L128" s="347">
        <f>INDEX(Picks!AJ:AJ,MATCH(A128,Picks!AG:AG,0))</f>
        <v>40</v>
      </c>
      <c r="M128" s="407" t="s">
        <v>408</v>
      </c>
      <c r="N128" s="624" t="str">
        <f>INDEX(Odds!H:H,MATCH(M128,Odds!G:G,0))</f>
        <v>29/20</v>
      </c>
      <c r="O128" s="625">
        <f>INDEX(Odds!I:I,MATCH(M128,Odds!G:G,0))</f>
        <v>2.4500000000000002</v>
      </c>
      <c r="P128" s="633">
        <f>INDEX(Odds!J:J,MATCH(M128,Odds!G:G,0))</f>
        <v>0</v>
      </c>
      <c r="Q128" s="627">
        <f t="shared" si="12"/>
        <v>0</v>
      </c>
      <c r="R128" s="504"/>
      <c r="S128" s="58"/>
      <c r="U128" s="35" t="str">
        <f>IF(Odds!G128="","",Odds!G128)</f>
        <v>Hartlepool</v>
      </c>
      <c r="V128" s="36" t="str">
        <f>INDEX(Odds!H:H,MATCH(U128,Odds!G:G,0))</f>
        <v>11/5</v>
      </c>
      <c r="W128" s="40">
        <f t="shared" si="11"/>
        <v>0</v>
      </c>
      <c r="AB128" s="8">
        <f>INDEX(Odds!K:K,MATCH(M128,Odds!G:G,0))</f>
        <v>1</v>
      </c>
      <c r="AE128" s="507" t="str">
        <f>IF(R128="","",INDEX(Odds!H:H,MATCH(R128,Odds!G:G,0)))</f>
        <v/>
      </c>
      <c r="AF128" s="507" t="str">
        <f>IF(INDEX(Table!S:S,MATCH(A128,Table!F:F,0))="N","N","")</f>
        <v/>
      </c>
      <c r="AG128" s="58"/>
      <c r="AH128" s="58"/>
      <c r="AI128" s="405"/>
      <c r="AJ128" s="58"/>
    </row>
    <row r="129" spans="1:36">
      <c r="A129" s="611" t="str">
        <f>A128</f>
        <v>Simon Kimble</v>
      </c>
      <c r="B129" s="611"/>
      <c r="C129" s="646"/>
      <c r="D129" s="650"/>
      <c r="E129" s="612" t="str">
        <f t="shared" si="13"/>
        <v>Oldham draw</v>
      </c>
      <c r="F129" s="606">
        <f>IF(M129="","",INDEX(Odds!C:C,MATCH(M129,Odds!G:G,0)))</f>
        <v>7</v>
      </c>
      <c r="G129" s="613">
        <f t="shared" si="14"/>
        <v>3.6</v>
      </c>
      <c r="H129" s="614" t="str">
        <f t="shared" si="15"/>
        <v>x</v>
      </c>
      <c r="I129" s="615"/>
      <c r="J129" s="616"/>
      <c r="K129" s="348">
        <f>IF(J128="",0,1)</f>
        <v>1</v>
      </c>
      <c r="L129" s="348"/>
      <c r="M129" s="407" t="s">
        <v>640</v>
      </c>
      <c r="N129" s="628" t="str">
        <f>INDEX(Odds!H:H,MATCH(M129,Odds!G:G,0))</f>
        <v>13/5</v>
      </c>
      <c r="O129" s="629">
        <f>INDEX(Odds!I:I,MATCH(M129,Odds!G:G,0))</f>
        <v>3.6</v>
      </c>
      <c r="P129" s="626">
        <f>INDEX(Odds!J:J,MATCH(M129,Odds!G:G,0))</f>
        <v>0</v>
      </c>
      <c r="Q129" s="627">
        <f t="shared" si="12"/>
        <v>0</v>
      </c>
      <c r="R129" s="504"/>
      <c r="S129" s="58"/>
      <c r="U129" s="35" t="str">
        <f>IF(Odds!G129="","",Odds!G129)</f>
        <v>Barrow</v>
      </c>
      <c r="V129" s="36" t="str">
        <f>INDEX(Odds!H:H,MATCH(U129,Odds!G:G,0))</f>
        <v>3/1</v>
      </c>
      <c r="W129" s="40">
        <f t="shared" si="11"/>
        <v>1</v>
      </c>
      <c r="AB129" s="8">
        <f>INDEX(Odds!K:K,MATCH(M129,Odds!G:G,0))</f>
        <v>1</v>
      </c>
      <c r="AE129" s="507" t="str">
        <f>IF(R129="","",INDEX(Odds!H:H,MATCH(R129,Odds!G:G,0)))</f>
        <v/>
      </c>
      <c r="AF129" s="507" t="str">
        <f>IF(INDEX(Table!S:S,MATCH(A129,Table!F:F,0))="N","N","")</f>
        <v/>
      </c>
      <c r="AG129" s="58"/>
      <c r="AH129" s="58"/>
      <c r="AI129" s="405"/>
      <c r="AJ129" s="58"/>
    </row>
    <row r="130" spans="1:36" ht="13.5" thickBot="1">
      <c r="A130" s="617" t="str">
        <f>A128</f>
        <v>Simon Kimble</v>
      </c>
      <c r="B130" s="617"/>
      <c r="C130" s="647"/>
      <c r="D130" s="651"/>
      <c r="E130" s="618" t="str">
        <f t="shared" si="13"/>
        <v>Walsall</v>
      </c>
      <c r="F130" s="619">
        <f>IF(M130="","",INDEX(Odds!C:C,MATCH(M130,Odds!G:G,0)))</f>
        <v>7</v>
      </c>
      <c r="G130" s="620">
        <f t="shared" si="14"/>
        <v>2.7</v>
      </c>
      <c r="H130" s="614" t="str">
        <f t="shared" si="15"/>
        <v>x</v>
      </c>
      <c r="I130" s="615"/>
      <c r="J130" s="616"/>
      <c r="K130" s="348"/>
      <c r="L130" s="348"/>
      <c r="M130" s="408" t="s">
        <v>568</v>
      </c>
      <c r="N130" s="630" t="str">
        <f>INDEX(Odds!H:H,MATCH(M130,Odds!G:G,0))</f>
        <v>17/10</v>
      </c>
      <c r="O130" s="631">
        <f>INDEX(Odds!I:I,MATCH(M130,Odds!G:G,0))</f>
        <v>2.7</v>
      </c>
      <c r="P130" s="626">
        <f>INDEX(Odds!J:J,MATCH(M130,Odds!G:G,0))</f>
        <v>0</v>
      </c>
      <c r="Q130" s="632">
        <f t="shared" si="12"/>
        <v>0</v>
      </c>
      <c r="R130" s="505"/>
      <c r="S130" s="58"/>
      <c r="U130" s="35" t="str">
        <f>IF(Odds!G130="","",Odds!G130)</f>
        <v>Kosovo</v>
      </c>
      <c r="V130" s="36" t="str">
        <f>INDEX(Odds!H:H,MATCH(U130,Odds!G:G,0))</f>
        <v>24/5</v>
      </c>
      <c r="W130" s="40">
        <f t="shared" si="11"/>
        <v>0</v>
      </c>
      <c r="AB130" s="8">
        <f>INDEX(Odds!K:K,MATCH(M130,Odds!G:G,0))</f>
        <v>1</v>
      </c>
      <c r="AE130" s="508" t="str">
        <f>IF(R130="","",INDEX(Odds!H:H,MATCH(R130,Odds!G:G,0)))</f>
        <v/>
      </c>
      <c r="AF130" s="508" t="str">
        <f>IF(INDEX(Table!S:S,MATCH(A130,Table!F:F,0))="N","N","")</f>
        <v/>
      </c>
      <c r="AG130" s="58"/>
      <c r="AH130" s="58"/>
      <c r="AI130" s="405"/>
      <c r="AJ130" s="58"/>
    </row>
    <row r="131" spans="1:36" ht="13.9" thickTop="1" thickBot="1">
      <c r="A131" s="604" t="str">
        <f>Results!B131</f>
        <v>Simon Richardson</v>
      </c>
      <c r="B131" s="604" t="str">
        <f>INDEX(Table!E:E,MATCH(A131,Table!F:F,0))</f>
        <v>C</v>
      </c>
      <c r="C131" s="645">
        <f>INDEX(Table!D:D,MATCH(A131,Table!F:F,0))</f>
        <v>14</v>
      </c>
      <c r="D131" s="649">
        <f>INDEX(Table!I:I,MATCH(A131,Table!F:F,0))</f>
        <v>-23.989305139305142</v>
      </c>
      <c r="E131" s="605" t="str">
        <f t="shared" si="13"/>
        <v>Altrincham</v>
      </c>
      <c r="F131" s="606">
        <f>IF(M131="","",INDEX(Odds!C:C,MATCH(M131,Odds!G:G,0)))</f>
        <v>1</v>
      </c>
      <c r="G131" s="607">
        <f t="shared" si="14"/>
        <v>2.2000000000000002</v>
      </c>
      <c r="H131" s="608" t="str">
        <f t="shared" si="15"/>
        <v>√</v>
      </c>
      <c r="I131" s="609">
        <f>IF(M131="",-10,INDEX(Results!T:T,MATCH(A131,Results!V:V,0)))</f>
        <v>-4.8</v>
      </c>
      <c r="J131" s="610">
        <f>IF(M131="","",INDEX(Results!AI:AI,MATCH(A131,Results!V:V,0)))</f>
        <v>28.960000000000008</v>
      </c>
      <c r="K131" s="348" t="str">
        <f>IF(INDEX(Table!Q:Q,MATCH(A131,Table!F:F,0))="N","N","Y")</f>
        <v>Y</v>
      </c>
      <c r="L131" s="347">
        <f>INDEX(Picks!AJ:AJ,MATCH(A131,Picks!AG:AG,0))</f>
        <v>23</v>
      </c>
      <c r="M131" s="407" t="s">
        <v>617</v>
      </c>
      <c r="N131" s="624" t="str">
        <f>INDEX(Odds!H:H,MATCH(M131,Odds!G:G,0))</f>
        <v>6/5</v>
      </c>
      <c r="O131" s="625">
        <f>INDEX(Odds!I:I,MATCH(M131,Odds!G:G,0))</f>
        <v>2.2000000000000002</v>
      </c>
      <c r="P131" s="633">
        <f>INDEX(Odds!J:J,MATCH(M131,Odds!G:G,0))</f>
        <v>1</v>
      </c>
      <c r="Q131" s="627">
        <f t="shared" si="12"/>
        <v>2.2000000000000002</v>
      </c>
      <c r="R131" s="504"/>
      <c r="S131" s="58"/>
      <c r="U131" s="35" t="str">
        <f>IF(Odds!G131="","",Odds!G131)</f>
        <v>Wales</v>
      </c>
      <c r="V131" s="36" t="str">
        <f>INDEX(Odds!H:H,MATCH(U131,Odds!G:G,0))</f>
        <v>4/1</v>
      </c>
      <c r="W131" s="40">
        <f t="shared" si="11"/>
        <v>0</v>
      </c>
      <c r="AB131" s="8">
        <f>INDEX(Odds!K:K,MATCH(M131,Odds!G:G,0))</f>
        <v>1</v>
      </c>
      <c r="AE131" s="507" t="str">
        <f>IF(R131="","",INDEX(Odds!H:H,MATCH(R131,Odds!G:G,0)))</f>
        <v/>
      </c>
      <c r="AF131" s="507" t="str">
        <f>IF(INDEX(Table!S:S,MATCH(A131,Table!F:F,0))="N","N","")</f>
        <v/>
      </c>
      <c r="AG131" s="58"/>
      <c r="AH131" s="58"/>
      <c r="AI131" s="405"/>
      <c r="AJ131" s="58"/>
    </row>
    <row r="132" spans="1:36">
      <c r="A132" s="611" t="str">
        <f>A131</f>
        <v>Simon Richardson</v>
      </c>
      <c r="B132" s="611"/>
      <c r="C132" s="646"/>
      <c r="D132" s="650"/>
      <c r="E132" s="612" t="str">
        <f t="shared" si="13"/>
        <v>Hartlepool</v>
      </c>
      <c r="F132" s="606">
        <f>IF(M132="","",INDEX(Odds!C:C,MATCH(M132,Odds!G:G,0)))</f>
        <v>1</v>
      </c>
      <c r="G132" s="613">
        <f t="shared" si="14"/>
        <v>3.2</v>
      </c>
      <c r="H132" s="614" t="str">
        <f t="shared" si="15"/>
        <v>x</v>
      </c>
      <c r="I132" s="671"/>
      <c r="J132" s="672"/>
      <c r="K132" s="348">
        <f>IF(J131="",0,1)</f>
        <v>1</v>
      </c>
      <c r="L132" s="348"/>
      <c r="M132" s="407" t="s">
        <v>620</v>
      </c>
      <c r="N132" s="628" t="str">
        <f>INDEX(Odds!H:H,MATCH(M132,Odds!G:G,0))</f>
        <v>11/5</v>
      </c>
      <c r="O132" s="629">
        <f>INDEX(Odds!I:I,MATCH(M132,Odds!G:G,0))</f>
        <v>3.2</v>
      </c>
      <c r="P132" s="626">
        <f>INDEX(Odds!J:J,MATCH(M132,Odds!G:G,0))</f>
        <v>0</v>
      </c>
      <c r="Q132" s="627">
        <f t="shared" si="12"/>
        <v>0</v>
      </c>
      <c r="R132" s="504"/>
      <c r="S132" s="58"/>
      <c r="U132" s="35" t="str">
        <f>IF(Odds!G132="","",Odds!G132)</f>
        <v>Greece</v>
      </c>
      <c r="V132" s="36" t="str">
        <f>INDEX(Odds!H:H,MATCH(U132,Odds!G:G,0))</f>
        <v>6/1</v>
      </c>
      <c r="W132" s="40">
        <f t="shared" si="11"/>
        <v>1</v>
      </c>
      <c r="AB132" s="8">
        <f>INDEX(Odds!K:K,MATCH(M132,Odds!G:G,0))</f>
        <v>1</v>
      </c>
      <c r="AE132" s="507" t="str">
        <f>IF(R132="","",INDEX(Odds!H:H,MATCH(R132,Odds!G:G,0)))</f>
        <v/>
      </c>
      <c r="AF132" s="507" t="str">
        <f>IF(INDEX(Table!S:S,MATCH(A132,Table!F:F,0))="N","N","")</f>
        <v/>
      </c>
      <c r="AG132" s="58"/>
      <c r="AH132" s="58"/>
      <c r="AI132" s="405"/>
      <c r="AJ132" s="58"/>
    </row>
    <row r="133" spans="1:36" ht="13.5" thickBot="1">
      <c r="A133" s="617" t="str">
        <f>A131</f>
        <v>Simon Richardson</v>
      </c>
      <c r="B133" s="617"/>
      <c r="C133" s="647"/>
      <c r="D133" s="651"/>
      <c r="E133" s="618" t="str">
        <f t="shared" si="13"/>
        <v>Southend</v>
      </c>
      <c r="F133" s="619">
        <f>IF(M133="","",INDEX(Odds!C:C,MATCH(M133,Odds!G:G,0)))</f>
        <v>1</v>
      </c>
      <c r="G133" s="620">
        <f t="shared" si="14"/>
        <v>1.75</v>
      </c>
      <c r="H133" s="621" t="str">
        <f t="shared" si="15"/>
        <v>x</v>
      </c>
      <c r="I133" s="669"/>
      <c r="J133" s="670"/>
      <c r="K133" s="348"/>
      <c r="L133" s="348"/>
      <c r="M133" s="408" t="s">
        <v>621</v>
      </c>
      <c r="N133" s="630" t="str">
        <f>INDEX(Odds!H:H,MATCH(M133,Odds!G:G,0))</f>
        <v>3/4</v>
      </c>
      <c r="O133" s="631">
        <f>INDEX(Odds!I:I,MATCH(M133,Odds!G:G,0))</f>
        <v>1.75</v>
      </c>
      <c r="P133" s="626">
        <f>INDEX(Odds!J:J,MATCH(M133,Odds!G:G,0))</f>
        <v>0</v>
      </c>
      <c r="Q133" s="632">
        <f t="shared" si="12"/>
        <v>0</v>
      </c>
      <c r="R133" s="505"/>
      <c r="S133" s="58"/>
      <c r="U133" s="35" t="str">
        <f>IF(Odds!G133="","",Odds!G133)</f>
        <v>Andorra</v>
      </c>
      <c r="V133" s="36" t="str">
        <f>INDEX(Odds!H:H,MATCH(U133,Odds!G:G,0))</f>
        <v>6/4</v>
      </c>
      <c r="W133" s="40">
        <f t="shared" si="11"/>
        <v>0</v>
      </c>
      <c r="AB133" s="8">
        <f>INDEX(Odds!K:K,MATCH(M133,Odds!G:G,0))</f>
        <v>1</v>
      </c>
      <c r="AE133" s="508" t="str">
        <f>IF(R133="","",INDEX(Odds!H:H,MATCH(R133,Odds!G:G,0)))</f>
        <v/>
      </c>
      <c r="AF133" s="508" t="str">
        <f>IF(INDEX(Table!S:S,MATCH(A133,Table!F:F,0))="N","N","")</f>
        <v/>
      </c>
      <c r="AG133" s="58"/>
      <c r="AH133" s="58"/>
      <c r="AI133" s="405"/>
      <c r="AJ133" s="58"/>
    </row>
    <row r="134" spans="1:36" ht="13.9" thickTop="1" thickBot="1">
      <c r="A134" s="604" t="str">
        <f>Results!B134</f>
        <v>Stephen Barr</v>
      </c>
      <c r="B134" s="604" t="str">
        <f>INDEX(Table!E:E,MATCH(A134,Table!F:F,0))</f>
        <v>B</v>
      </c>
      <c r="C134" s="645">
        <f>INDEX(Table!D:D,MATCH(A134,Table!F:F,0))</f>
        <v>10</v>
      </c>
      <c r="D134" s="649">
        <f>INDEX(Table!I:I,MATCH(A134,Table!F:F,0))</f>
        <v>-15.702727272727273</v>
      </c>
      <c r="E134" s="605" t="str">
        <f t="shared" ref="E134:E136" si="16">IF(M134="","",M134)</f>
        <v>Bristol R</v>
      </c>
      <c r="F134" s="606">
        <f>IF(M134="","",INDEX(Odds!C:C,MATCH(M134,Odds!G:G,0)))</f>
        <v>7</v>
      </c>
      <c r="G134" s="607">
        <f t="shared" ref="G134:G136" si="17">IF(M134="","",O134)</f>
        <v>1.7272727272727273</v>
      </c>
      <c r="H134" s="608" t="str">
        <f t="shared" ref="H134:H136" si="18">IF(M134="","",IF(P134=1,"√","x"))</f>
        <v>√</v>
      </c>
      <c r="I134" s="609">
        <f>IF(M134="",-10,INDEX(Results!T:T,MATCH(A134,Results!V:V,0)))</f>
        <v>-5.2727272727272725</v>
      </c>
      <c r="J134" s="610">
        <f>IF(M134="","",INDEX(Results!AI:AI,MATCH(A134,Results!V:V,0)))</f>
        <v>13.755244755244753</v>
      </c>
      <c r="K134" s="348" t="str">
        <f>IF(INDEX(Table!Q:Q,MATCH(A134,Table!F:F,0))="N","N","Y")</f>
        <v>Y</v>
      </c>
      <c r="L134" s="347">
        <f>INDEX(Picks!AJ:AJ,MATCH(A134,Picks!AG:AG,0))</f>
        <v>29</v>
      </c>
      <c r="M134" s="407" t="s">
        <v>527</v>
      </c>
      <c r="N134" s="624" t="str">
        <f>INDEX(Odds!H:H,MATCH(M134,Odds!G:G,0))</f>
        <v>8/11</v>
      </c>
      <c r="O134" s="625">
        <f>INDEX(Odds!I:I,MATCH(M134,Odds!G:G,0))</f>
        <v>1.7272727272727273</v>
      </c>
      <c r="P134" s="633">
        <f>INDEX(Odds!J:J,MATCH(M134,Odds!G:G,0))</f>
        <v>1</v>
      </c>
      <c r="Q134" s="627">
        <f t="shared" ref="Q134:Q136" si="19">O134*P134</f>
        <v>1.7272727272727273</v>
      </c>
      <c r="R134" s="504"/>
      <c r="S134" s="58"/>
      <c r="U134" s="35" t="str">
        <f>IF(Odds!G134="","",Odds!G134)</f>
        <v>Ireland</v>
      </c>
      <c r="V134" s="36" t="str">
        <f>INDEX(Odds!H:H,MATCH(U134,Odds!G:G,0))</f>
        <v>13/8</v>
      </c>
      <c r="W134" s="40">
        <f t="shared" ref="W134:W136" si="20">IF(Y42&lt;AA42,1,0)</f>
        <v>1</v>
      </c>
      <c r="AB134" s="8">
        <f>INDEX(Odds!K:K,MATCH(M134,Odds!G:G,0))</f>
        <v>1</v>
      </c>
      <c r="AE134" s="507" t="str">
        <f>IF(R134="","",INDEX(Odds!H:H,MATCH(R134,Odds!G:G,0)))</f>
        <v/>
      </c>
      <c r="AF134" s="507" t="str">
        <f>IF(INDEX(Table!S:S,MATCH(A134,Table!F:F,0))="N","N","")</f>
        <v/>
      </c>
      <c r="AG134" s="58"/>
      <c r="AH134" s="58"/>
      <c r="AI134" s="405"/>
      <c r="AJ134" s="58"/>
    </row>
    <row r="135" spans="1:36">
      <c r="A135" s="611" t="str">
        <f>A134</f>
        <v>Stephen Barr</v>
      </c>
      <c r="B135" s="611"/>
      <c r="C135" s="646"/>
      <c r="D135" s="650"/>
      <c r="E135" s="612" t="str">
        <f t="shared" si="16"/>
        <v>Plymouth</v>
      </c>
      <c r="F135" s="606">
        <f>IF(M135="","",INDEX(Odds!C:C,MATCH(M135,Odds!G:G,0)))</f>
        <v>7</v>
      </c>
      <c r="G135" s="613">
        <f t="shared" si="17"/>
        <v>1.6153846153846154</v>
      </c>
      <c r="H135" s="614" t="str">
        <f t="shared" si="18"/>
        <v>x</v>
      </c>
      <c r="I135" s="615"/>
      <c r="J135" s="616"/>
      <c r="K135" s="348">
        <f>IF(J134="",0,1)</f>
        <v>1</v>
      </c>
      <c r="L135" s="348"/>
      <c r="M135" s="407" t="s">
        <v>554</v>
      </c>
      <c r="N135" s="628" t="str">
        <f>INDEX(Odds!H:H,MATCH(M135,Odds!G:G,0))</f>
        <v>8/13</v>
      </c>
      <c r="O135" s="629">
        <f>INDEX(Odds!I:I,MATCH(M135,Odds!G:G,0))</f>
        <v>1.6153846153846154</v>
      </c>
      <c r="P135" s="626">
        <f>INDEX(Odds!J:J,MATCH(M135,Odds!G:G,0))</f>
        <v>0</v>
      </c>
      <c r="Q135" s="627">
        <f t="shared" si="19"/>
        <v>0</v>
      </c>
      <c r="R135" s="504"/>
      <c r="S135" s="58"/>
      <c r="U135" s="35" t="str">
        <f>IF(Odds!G135="","",Odds!G135)</f>
        <v>Azerbaijan</v>
      </c>
      <c r="V135" s="36" t="str">
        <f>INDEX(Odds!H:H,MATCH(U135,Odds!G:G,0))</f>
        <v>2/1</v>
      </c>
      <c r="W135" s="40">
        <f t="shared" si="20"/>
        <v>0</v>
      </c>
      <c r="AB135" s="8">
        <f>INDEX(Odds!K:K,MATCH(M135,Odds!G:G,0))</f>
        <v>1</v>
      </c>
      <c r="AE135" s="507" t="str">
        <f>IF(R135="","",INDEX(Odds!H:H,MATCH(R135,Odds!G:G,0)))</f>
        <v/>
      </c>
      <c r="AF135" s="507" t="str">
        <f>IF(INDEX(Table!S:S,MATCH(A135,Table!F:F,0))="N","N","")</f>
        <v/>
      </c>
      <c r="AG135" s="58"/>
      <c r="AH135" s="58"/>
      <c r="AI135" s="405"/>
      <c r="AJ135" s="58"/>
    </row>
    <row r="136" spans="1:36" ht="13.5" thickBot="1">
      <c r="A136" s="617" t="str">
        <f>A134</f>
        <v>Stephen Barr</v>
      </c>
      <c r="B136" s="617"/>
      <c r="C136" s="647"/>
      <c r="D136" s="651"/>
      <c r="E136" s="618" t="str">
        <f t="shared" si="16"/>
        <v>Swindon</v>
      </c>
      <c r="F136" s="619">
        <f>IF(M136="","",INDEX(Odds!C:C,MATCH(M136,Odds!G:G,0)))</f>
        <v>7</v>
      </c>
      <c r="G136" s="620">
        <f t="shared" si="17"/>
        <v>2.0499999999999998</v>
      </c>
      <c r="H136" s="621" t="str">
        <f t="shared" si="18"/>
        <v>x</v>
      </c>
      <c r="I136" s="622"/>
      <c r="J136" s="623"/>
      <c r="K136" s="348"/>
      <c r="L136" s="348"/>
      <c r="M136" s="408" t="s">
        <v>571</v>
      </c>
      <c r="N136" s="630" t="str">
        <f>INDEX(Odds!H:H,MATCH(M136,Odds!G:G,0))</f>
        <v>21/20</v>
      </c>
      <c r="O136" s="631">
        <f>INDEX(Odds!I:I,MATCH(M136,Odds!G:G,0))</f>
        <v>2.0499999999999998</v>
      </c>
      <c r="P136" s="626">
        <f>INDEX(Odds!J:J,MATCH(M136,Odds!G:G,0))</f>
        <v>0</v>
      </c>
      <c r="Q136" s="632">
        <f t="shared" si="19"/>
        <v>0</v>
      </c>
      <c r="R136" s="505"/>
      <c r="S136" s="58"/>
      <c r="U136" s="35" t="str">
        <f>IF(Odds!G136="","",Odds!G136)</f>
        <v>Portugal</v>
      </c>
      <c r="V136" s="36" t="str">
        <f>INDEX(Odds!H:H,MATCH(U136,Odds!G:G,0))</f>
        <v>6/4</v>
      </c>
      <c r="W136" s="40">
        <f t="shared" si="20"/>
        <v>1</v>
      </c>
      <c r="AB136" s="8">
        <f>INDEX(Odds!K:K,MATCH(M136,Odds!G:G,0))</f>
        <v>1</v>
      </c>
      <c r="AE136" s="508" t="str">
        <f>IF(R136="","",INDEX(Odds!H:H,MATCH(R136,Odds!G:G,0)))</f>
        <v/>
      </c>
      <c r="AF136" s="508" t="str">
        <f>IF(INDEX(Table!S:S,MATCH(A136,Table!F:F,0))="N","N","")</f>
        <v/>
      </c>
      <c r="AG136" s="58"/>
      <c r="AH136" s="58"/>
      <c r="AI136" s="405"/>
      <c r="AJ136" s="58"/>
    </row>
    <row r="137" spans="1:36" ht="13.9" thickTop="1" thickBot="1">
      <c r="A137" s="604" t="str">
        <f>Results!B137</f>
        <v>Steve Carter</v>
      </c>
      <c r="B137" s="604" t="str">
        <f>INDEX(Table!E:E,MATCH(A137,Table!F:F,0))</f>
        <v>A</v>
      </c>
      <c r="C137" s="645">
        <f>INDEX(Table!D:D,MATCH(A137,Table!F:F,0))</f>
        <v>7</v>
      </c>
      <c r="D137" s="649">
        <f>INDEX(Table!I:I,MATCH(A137,Table!F:F,0))</f>
        <v>-15.678888888888888</v>
      </c>
      <c r="E137" s="605" t="str">
        <f t="shared" ref="E137:E139" si="21">IF(M137="","",M137)</f>
        <v>Croatia</v>
      </c>
      <c r="F137" s="606">
        <f>IF(M137="","",INDEX(Odds!C:C,MATCH(M137,Odds!G:G,0)))</f>
        <v>7</v>
      </c>
      <c r="G137" s="607">
        <f t="shared" ref="G137:G139" si="22">IF(M137="","",O137)</f>
        <v>2.15</v>
      </c>
      <c r="H137" s="608" t="str">
        <f t="shared" ref="H137:H139" si="23">IF(M137="","",IF(P137=1,"√","x"))</f>
        <v>√</v>
      </c>
      <c r="I137" s="609">
        <f>IF(M137="",-10,INDEX(Results!T:T,MATCH(A137,Results!V:V,0)))</f>
        <v>2.7100000000000009</v>
      </c>
      <c r="J137" s="610">
        <f>IF(M137="","",INDEX(Results!AI:AI,MATCH(A137,Results!V:V,0)))</f>
        <v>40.195</v>
      </c>
      <c r="K137" s="348" t="str">
        <f>IF(INDEX(Table!Q:Q,MATCH(A137,Table!F:F,0))="N","N","Y")</f>
        <v>Y</v>
      </c>
      <c r="L137" s="347">
        <f>INDEX(Picks!AJ:AJ,MATCH(A137,Picks!AG:AG,0))</f>
        <v>9</v>
      </c>
      <c r="M137" s="407" t="s">
        <v>599</v>
      </c>
      <c r="N137" s="624" t="str">
        <f>INDEX(Odds!H:H,MATCH(M137,Odds!G:G,0))</f>
        <v>23/20</v>
      </c>
      <c r="O137" s="625">
        <f>INDEX(Odds!I:I,MATCH(M137,Odds!G:G,0))</f>
        <v>2.15</v>
      </c>
      <c r="P137" s="633">
        <f>INDEX(Odds!J:J,MATCH(M137,Odds!G:G,0))</f>
        <v>1</v>
      </c>
      <c r="Q137" s="627">
        <f t="shared" ref="Q137:Q139" si="24">O137*P137</f>
        <v>2.15</v>
      </c>
      <c r="R137" s="504"/>
      <c r="U137" s="35" t="str">
        <f>IF(Odds!G137="","",Odds!G137)</f>
        <v>Netherlands</v>
      </c>
      <c r="V137" s="36" t="str">
        <f>INDEX(Odds!H:H,MATCH(U137,Odds!G:G,0))</f>
        <v>8/13</v>
      </c>
      <c r="W137" s="40">
        <f t="shared" ref="W137:W138" si="25">IF(Y45&lt;AA45,1,0)</f>
        <v>1</v>
      </c>
      <c r="AB137" s="8">
        <f>INDEX(Odds!K:K,MATCH(M137,Odds!G:G,0))</f>
        <v>1</v>
      </c>
      <c r="AE137" s="507" t="str">
        <f>IF(R137="","",INDEX(Odds!H:H,MATCH(R137,Odds!G:G,0)))</f>
        <v/>
      </c>
      <c r="AF137" s="507"/>
      <c r="AG137" s="58"/>
      <c r="AH137" s="58"/>
      <c r="AI137" s="405"/>
      <c r="AJ137" s="58"/>
    </row>
    <row r="138" spans="1:36">
      <c r="A138" s="611" t="str">
        <f>A137</f>
        <v>Steve Carter</v>
      </c>
      <c r="B138" s="611"/>
      <c r="C138" s="646"/>
      <c r="D138" s="650"/>
      <c r="E138" s="612" t="str">
        <f t="shared" si="21"/>
        <v>Spain</v>
      </c>
      <c r="F138" s="606">
        <f>IF(M138="","",INDEX(Odds!C:C,MATCH(M138,Odds!G:G,0)))</f>
        <v>7</v>
      </c>
      <c r="G138" s="613">
        <f t="shared" si="22"/>
        <v>2.4</v>
      </c>
      <c r="H138" s="614" t="str">
        <f t="shared" si="23"/>
        <v>√</v>
      </c>
      <c r="I138" s="615"/>
      <c r="J138" s="616"/>
      <c r="K138" s="348">
        <f>IF(J137="",0,1)</f>
        <v>1</v>
      </c>
      <c r="L138" s="348"/>
      <c r="M138" s="407" t="s">
        <v>601</v>
      </c>
      <c r="N138" s="628" t="str">
        <f>INDEX(Odds!H:H,MATCH(M138,Odds!G:G,0))</f>
        <v>7/5</v>
      </c>
      <c r="O138" s="629">
        <f>INDEX(Odds!I:I,MATCH(M138,Odds!G:G,0))</f>
        <v>2.4</v>
      </c>
      <c r="P138" s="626">
        <f>INDEX(Odds!J:J,MATCH(M138,Odds!G:G,0))</f>
        <v>1</v>
      </c>
      <c r="Q138" s="627">
        <f t="shared" si="24"/>
        <v>2.4</v>
      </c>
      <c r="R138" s="504"/>
      <c r="U138" s="35" t="str">
        <f>IF(Odds!G138="","",Odds!G138)</f>
        <v/>
      </c>
      <c r="V138" s="36" t="str">
        <f>INDEX(Odds!H:H,MATCH(U138,Odds!G:G,0))</f>
        <v/>
      </c>
      <c r="W138" s="40" t="e">
        <f t="shared" si="25"/>
        <v>#N/A</v>
      </c>
      <c r="AB138" s="8">
        <f>INDEX(Odds!K:K,MATCH(M138,Odds!G:G,0))</f>
        <v>1</v>
      </c>
      <c r="AE138" s="507" t="str">
        <f>IF(R138="","",INDEX(Odds!H:H,MATCH(R138,Odds!G:G,0)))</f>
        <v/>
      </c>
      <c r="AF138" s="507"/>
      <c r="AG138" s="58"/>
      <c r="AH138" s="58"/>
      <c r="AI138" s="405"/>
      <c r="AJ138" s="58"/>
    </row>
    <row r="139" spans="1:36" ht="13.5" thickBot="1">
      <c r="A139" s="617" t="str">
        <f>A137</f>
        <v>Steve Carter</v>
      </c>
      <c r="B139" s="617"/>
      <c r="C139" s="647"/>
      <c r="D139" s="651"/>
      <c r="E139" s="618" t="str">
        <f t="shared" si="21"/>
        <v>Gibraltar</v>
      </c>
      <c r="F139" s="619">
        <f>IF(M139="","",INDEX(Odds!C:C,MATCH(M139,Odds!G:G,0)))</f>
        <v>1</v>
      </c>
      <c r="G139" s="620">
        <f t="shared" si="22"/>
        <v>3.5</v>
      </c>
      <c r="H139" s="621" t="str">
        <f t="shared" si="23"/>
        <v>x</v>
      </c>
      <c r="I139" s="622"/>
      <c r="J139" s="623"/>
      <c r="K139" s="348"/>
      <c r="L139" s="348"/>
      <c r="M139" s="408" t="s">
        <v>629</v>
      </c>
      <c r="N139" s="630" t="str">
        <f>INDEX(Odds!H:H,MATCH(M139,Odds!G:G,0))</f>
        <v>5/2</v>
      </c>
      <c r="O139" s="631">
        <f>INDEX(Odds!I:I,MATCH(M139,Odds!G:G,0))</f>
        <v>3.5</v>
      </c>
      <c r="P139" s="626">
        <f>INDEX(Odds!J:J,MATCH(M139,Odds!G:G,0))</f>
        <v>0</v>
      </c>
      <c r="Q139" s="632">
        <f t="shared" si="24"/>
        <v>0</v>
      </c>
      <c r="R139" s="505"/>
      <c r="U139" s="35" t="str">
        <f>IF(Odds!G139="","",Odds!G139)</f>
        <v/>
      </c>
      <c r="V139" s="36" t="str">
        <f>INDEX(Odds!H:H,MATCH(U139,Odds!G:G,0))</f>
        <v/>
      </c>
      <c r="W139" s="40" t="e">
        <f t="shared" ref="W139:W141" si="26">IF(Y47&lt;AA47,1,0)</f>
        <v>#N/A</v>
      </c>
      <c r="AB139" s="8">
        <f>INDEX(Odds!K:K,MATCH(M139,Odds!G:G,0))</f>
        <v>1</v>
      </c>
      <c r="AE139" s="508" t="str">
        <f>IF(R139="","",INDEX(Odds!H:H,MATCH(R139,Odds!G:G,0)))</f>
        <v/>
      </c>
      <c r="AF139" s="508"/>
      <c r="AG139" s="58"/>
      <c r="AH139" s="58"/>
      <c r="AI139" s="405"/>
      <c r="AJ139" s="58"/>
    </row>
    <row r="140" spans="1:36" ht="13.9" thickTop="1" thickBot="1">
      <c r="A140" s="604" t="str">
        <f>Results!B140</f>
        <v>Steve Waterhouse</v>
      </c>
      <c r="B140" s="604" t="str">
        <f>INDEX(Table!E:E,MATCH(A140,Table!F:F,0))</f>
        <v>C</v>
      </c>
      <c r="C140" s="645">
        <f>INDEX(Table!D:D,MATCH(A140,Table!F:F,0))</f>
        <v>1</v>
      </c>
      <c r="D140" s="649">
        <f>INDEX(Table!I:I,MATCH(A140,Table!F:F,0))</f>
        <v>32.941796085858584</v>
      </c>
      <c r="E140" s="605" t="str">
        <f t="shared" ref="E140:E151" si="27">IF(M140="","",M140)</f>
        <v>Cambridge</v>
      </c>
      <c r="F140" s="606">
        <f>IF(M140="","",INDEX(Odds!C:C,MATCH(M140,Odds!G:G,0)))</f>
        <v>7</v>
      </c>
      <c r="G140" s="607">
        <f t="shared" ref="G140:G151" si="28">IF(M140="","",O140)</f>
        <v>1.8</v>
      </c>
      <c r="H140" s="608" t="str">
        <f t="shared" ref="H140:H151" si="29">IF(M140="","",IF(P140=1,"√","x"))</f>
        <v>x</v>
      </c>
      <c r="I140" s="609">
        <f>IF(M140="",-10,INDEX(Results!T:T,MATCH(A140,Results!V:V,0)))</f>
        <v>-5.6363636363636367</v>
      </c>
      <c r="J140" s="610">
        <f>IF(M140="","",INDEX(Results!AI:AI,MATCH(A140,Results!V:V,0)))</f>
        <v>10.530909090909091</v>
      </c>
      <c r="K140" s="348" t="str">
        <f>IF(INDEX(Table!Q:Q,MATCH(A140,Table!F:F,0))="N","N","Y")</f>
        <v>Y</v>
      </c>
      <c r="L140" s="347">
        <f>INDEX(Picks!AJ:AJ,MATCH(A140,Picks!AG:AG,0))</f>
        <v>35</v>
      </c>
      <c r="M140" s="407" t="s">
        <v>552</v>
      </c>
      <c r="N140" s="624" t="str">
        <f>INDEX(Odds!H:H,MATCH(M140,Odds!G:G,0))</f>
        <v>4/5</v>
      </c>
      <c r="O140" s="625">
        <f>INDEX(Odds!I:I,MATCH(M140,Odds!G:G,0))</f>
        <v>1.8</v>
      </c>
      <c r="P140" s="633">
        <f>INDEX(Odds!J:J,MATCH(M140,Odds!G:G,0))</f>
        <v>0</v>
      </c>
      <c r="Q140" s="627">
        <f t="shared" ref="Q140:Q151" si="30">O140*P140</f>
        <v>0</v>
      </c>
      <c r="R140" s="504"/>
      <c r="U140" s="35" t="str">
        <f>IF(Odds!G140="","",Odds!G140)</f>
        <v/>
      </c>
      <c r="V140" s="36" t="str">
        <f>INDEX(Odds!H:H,MATCH(U140,Odds!G:G,0))</f>
        <v/>
      </c>
      <c r="W140" s="40">
        <f t="shared" si="26"/>
        <v>0</v>
      </c>
      <c r="AB140" s="8">
        <f>INDEX(Odds!K:K,MATCH(M140,Odds!G:G,0))</f>
        <v>1</v>
      </c>
      <c r="AE140" s="507" t="str">
        <f>IF(R140="","",INDEX(Odds!H:H,MATCH(R140,Odds!G:G,0)))</f>
        <v/>
      </c>
      <c r="AF140" s="507"/>
      <c r="AG140" s="58"/>
      <c r="AH140" s="58"/>
      <c r="AI140" s="405"/>
      <c r="AJ140" s="58"/>
    </row>
    <row r="141" spans="1:36">
      <c r="A141" s="611" t="str">
        <f>A140</f>
        <v>Steve Waterhouse</v>
      </c>
      <c r="B141" s="611"/>
      <c r="C141" s="646"/>
      <c r="D141" s="650"/>
      <c r="E141" s="612" t="str">
        <f t="shared" si="27"/>
        <v>Grimsby</v>
      </c>
      <c r="F141" s="606">
        <f>IF(M141="","",INDEX(Odds!C:C,MATCH(M141,Odds!G:G,0)))</f>
        <v>7</v>
      </c>
      <c r="G141" s="613">
        <f t="shared" si="28"/>
        <v>1.8</v>
      </c>
      <c r="H141" s="614" t="str">
        <f t="shared" si="29"/>
        <v>x</v>
      </c>
      <c r="I141" s="615"/>
      <c r="J141" s="616"/>
      <c r="K141" s="348">
        <f>IF(J140="",0,1)</f>
        <v>1</v>
      </c>
      <c r="L141" s="348"/>
      <c r="M141" s="407" t="s">
        <v>561</v>
      </c>
      <c r="N141" s="628" t="str">
        <f>INDEX(Odds!H:H,MATCH(M141,Odds!G:G,0))</f>
        <v>4/5</v>
      </c>
      <c r="O141" s="629">
        <f>INDEX(Odds!I:I,MATCH(M141,Odds!G:G,0))</f>
        <v>1.8</v>
      </c>
      <c r="P141" s="626">
        <f>INDEX(Odds!J:J,MATCH(M141,Odds!G:G,0))</f>
        <v>0</v>
      </c>
      <c r="Q141" s="627">
        <f t="shared" si="30"/>
        <v>0</v>
      </c>
      <c r="R141" s="504"/>
      <c r="U141" s="35" t="str">
        <f>IF(Odds!G141="","",Odds!G141)</f>
        <v/>
      </c>
      <c r="V141" s="36" t="str">
        <f>INDEX(Odds!H:H,MATCH(U141,Odds!G:G,0))</f>
        <v/>
      </c>
      <c r="W141" s="40">
        <f t="shared" si="26"/>
        <v>0</v>
      </c>
      <c r="AB141" s="8">
        <f>INDEX(Odds!K:K,MATCH(M141,Odds!G:G,0))</f>
        <v>1</v>
      </c>
      <c r="AE141" s="507" t="str">
        <f>IF(R141="","",INDEX(Odds!H:H,MATCH(R141,Odds!G:G,0)))</f>
        <v/>
      </c>
      <c r="AF141" s="507"/>
      <c r="AG141" s="58"/>
      <c r="AH141" s="58"/>
      <c r="AI141" s="405"/>
      <c r="AJ141" s="58"/>
    </row>
    <row r="142" spans="1:36" ht="13.5" thickBot="1">
      <c r="A142" s="617" t="str">
        <f>A140</f>
        <v>Steve Waterhouse</v>
      </c>
      <c r="B142" s="617"/>
      <c r="C142" s="647"/>
      <c r="D142" s="651"/>
      <c r="E142" s="618" t="str">
        <f t="shared" si="27"/>
        <v>Stockport</v>
      </c>
      <c r="F142" s="619">
        <f>IF(M142="","",INDEX(Odds!C:C,MATCH(M142,Odds!G:G,0)))</f>
        <v>7</v>
      </c>
      <c r="G142" s="620">
        <f t="shared" si="28"/>
        <v>1.3636363636363638</v>
      </c>
      <c r="H142" s="621" t="str">
        <f t="shared" si="29"/>
        <v>√</v>
      </c>
      <c r="I142" s="622"/>
      <c r="J142" s="623"/>
      <c r="K142" s="348"/>
      <c r="L142" s="348"/>
      <c r="M142" s="408" t="s">
        <v>645</v>
      </c>
      <c r="N142" s="630" t="str">
        <f>INDEX(Odds!H:H,MATCH(M142,Odds!G:G,0))</f>
        <v>4/11</v>
      </c>
      <c r="O142" s="631">
        <f>INDEX(Odds!I:I,MATCH(M142,Odds!G:G,0))</f>
        <v>1.3636363636363638</v>
      </c>
      <c r="P142" s="626">
        <f>INDEX(Odds!J:J,MATCH(M142,Odds!G:G,0))</f>
        <v>1</v>
      </c>
      <c r="Q142" s="632">
        <f t="shared" si="30"/>
        <v>1.3636363636363638</v>
      </c>
      <c r="R142" s="505"/>
      <c r="U142" s="35" t="str">
        <f>IF(Odds!G142="","",Odds!G142)</f>
        <v/>
      </c>
      <c r="V142" s="36" t="str">
        <f>INDEX(Odds!H:H,MATCH(U142,Odds!G:G,0))</f>
        <v/>
      </c>
      <c r="W142" s="40">
        <f t="shared" ref="W142:W151" si="31">IF(Y50&lt;AA50,1,0)</f>
        <v>0</v>
      </c>
      <c r="AB142" s="8">
        <f>INDEX(Odds!K:K,MATCH(M142,Odds!G:G,0))</f>
        <v>1</v>
      </c>
      <c r="AE142" s="508" t="str">
        <f>IF(R142="","",INDEX(Odds!H:H,MATCH(R142,Odds!G:G,0)))</f>
        <v/>
      </c>
      <c r="AF142" s="508"/>
      <c r="AG142" s="58"/>
      <c r="AH142" s="58"/>
      <c r="AI142" s="405"/>
      <c r="AJ142" s="58"/>
    </row>
    <row r="143" spans="1:36" ht="13.9" thickTop="1" thickBot="1">
      <c r="A143" s="604" t="str">
        <f>Results!B143</f>
        <v>Steven Naylor</v>
      </c>
      <c r="B143" s="604" t="str">
        <f>INDEX(Table!E:E,MATCH(A143,Table!F:F,0))</f>
        <v>C</v>
      </c>
      <c r="C143" s="645">
        <f>INDEX(Table!D:D,MATCH(A143,Table!F:F,0))</f>
        <v>10</v>
      </c>
      <c r="D143" s="649">
        <f>INDEX(Table!I:I,MATCH(A143,Table!F:F,0))</f>
        <v>-16.119318181818183</v>
      </c>
      <c r="E143" s="605" t="str">
        <f t="shared" si="27"/>
        <v>Grimsby</v>
      </c>
      <c r="F143" s="606">
        <f>IF(M143="","",INDEX(Odds!C:C,MATCH(M143,Odds!G:G,0)))</f>
        <v>7</v>
      </c>
      <c r="G143" s="607">
        <f t="shared" si="28"/>
        <v>1.8</v>
      </c>
      <c r="H143" s="608" t="str">
        <f t="shared" si="29"/>
        <v>x</v>
      </c>
      <c r="I143" s="609">
        <f>IF(M143="",-10,INDEX(Results!T:T,MATCH(A143,Results!V:V,0)))</f>
        <v>-0.875</v>
      </c>
      <c r="J143" s="610">
        <f>IF(M143="","",INDEX(Results!AI:AI,MATCH(A143,Results!V:V,0)))</f>
        <v>11.950000000000003</v>
      </c>
      <c r="K143" s="348" t="str">
        <f>IF(INDEX(Table!Q:Q,MATCH(A143,Table!F:F,0))="N","N","Y")</f>
        <v>Y</v>
      </c>
      <c r="L143" s="347">
        <f>INDEX(Picks!AJ:AJ,MATCH(A143,Picks!AG:AG,0))</f>
        <v>13</v>
      </c>
      <c r="M143" s="407" t="s">
        <v>561</v>
      </c>
      <c r="N143" s="624" t="str">
        <f>INDEX(Odds!H:H,MATCH(M143,Odds!G:G,0))</f>
        <v>4/5</v>
      </c>
      <c r="O143" s="625">
        <f>INDEX(Odds!I:I,MATCH(M143,Odds!G:G,0))</f>
        <v>1.8</v>
      </c>
      <c r="P143" s="633">
        <f>INDEX(Odds!J:J,MATCH(M143,Odds!G:G,0))</f>
        <v>0</v>
      </c>
      <c r="Q143" s="627">
        <f t="shared" si="30"/>
        <v>0</v>
      </c>
      <c r="R143" s="504"/>
      <c r="U143" s="35" t="str">
        <f>IF(Odds!G143="","",Odds!G143)</f>
        <v/>
      </c>
      <c r="V143" s="36" t="str">
        <f>INDEX(Odds!H:H,MATCH(U143,Odds!G:G,0))</f>
        <v/>
      </c>
      <c r="W143" s="40">
        <f t="shared" si="31"/>
        <v>0</v>
      </c>
      <c r="AB143" s="8">
        <f>INDEX(Odds!K:K,MATCH(M143,Odds!G:G,0))</f>
        <v>1</v>
      </c>
      <c r="AE143" s="507" t="str">
        <f>IF(R143="","",INDEX(Odds!H:H,MATCH(R143,Odds!G:G,0)))</f>
        <v/>
      </c>
      <c r="AF143" s="507"/>
      <c r="AG143" s="58"/>
      <c r="AH143" s="58"/>
      <c r="AI143" s="405"/>
      <c r="AJ143" s="58"/>
    </row>
    <row r="144" spans="1:36">
      <c r="A144" s="611" t="str">
        <f>A143</f>
        <v>Steven Naylor</v>
      </c>
      <c r="B144" s="611"/>
      <c r="C144" s="646"/>
      <c r="D144" s="650"/>
      <c r="E144" s="612" t="str">
        <f t="shared" si="27"/>
        <v>Salford</v>
      </c>
      <c r="F144" s="606">
        <f>IF(M144="","",INDEX(Odds!C:C,MATCH(M144,Odds!G:G,0)))</f>
        <v>7</v>
      </c>
      <c r="G144" s="613">
        <f t="shared" si="28"/>
        <v>1.85</v>
      </c>
      <c r="H144" s="614" t="str">
        <f t="shared" si="29"/>
        <v>√</v>
      </c>
      <c r="I144" s="615"/>
      <c r="J144" s="616"/>
      <c r="K144" s="348">
        <f>IF(J143="",0,1)</f>
        <v>1</v>
      </c>
      <c r="L144" s="348"/>
      <c r="M144" s="407" t="s">
        <v>530</v>
      </c>
      <c r="N144" s="628" t="str">
        <f>INDEX(Odds!H:H,MATCH(M144,Odds!G:G,0))</f>
        <v>17/20</v>
      </c>
      <c r="O144" s="629">
        <f>INDEX(Odds!I:I,MATCH(M144,Odds!G:G,0))</f>
        <v>1.85</v>
      </c>
      <c r="P144" s="626">
        <f>INDEX(Odds!J:J,MATCH(M144,Odds!G:G,0))</f>
        <v>1</v>
      </c>
      <c r="Q144" s="627">
        <f t="shared" si="30"/>
        <v>1.85</v>
      </c>
      <c r="R144" s="504"/>
      <c r="U144" s="35" t="str">
        <f>IF(Odds!G144="","",Odds!G144)</f>
        <v/>
      </c>
      <c r="V144" s="36" t="str">
        <f>INDEX(Odds!H:H,MATCH(U144,Odds!G:G,0))</f>
        <v/>
      </c>
      <c r="W144" s="40">
        <f t="shared" si="31"/>
        <v>0</v>
      </c>
      <c r="AB144" s="8">
        <f>INDEX(Odds!K:K,MATCH(M144,Odds!G:G,0))</f>
        <v>1</v>
      </c>
      <c r="AE144" s="507" t="str">
        <f>IF(R144="","",INDEX(Odds!H:H,MATCH(R144,Odds!G:G,0)))</f>
        <v/>
      </c>
      <c r="AF144" s="507"/>
      <c r="AG144" s="58"/>
      <c r="AH144" s="58"/>
      <c r="AI144" s="405"/>
      <c r="AJ144" s="58"/>
    </row>
    <row r="145" spans="1:36" ht="13.5" thickBot="1">
      <c r="A145" s="617" t="str">
        <f>A143</f>
        <v>Steven Naylor</v>
      </c>
      <c r="B145" s="617"/>
      <c r="C145" s="647"/>
      <c r="D145" s="651"/>
      <c r="E145" s="618" t="str">
        <f t="shared" si="27"/>
        <v>York</v>
      </c>
      <c r="F145" s="619">
        <f>IF(M145="","",INDEX(Odds!C:C,MATCH(M145,Odds!G:G,0)))</f>
        <v>7</v>
      </c>
      <c r="G145" s="620">
        <f t="shared" si="28"/>
        <v>1.5</v>
      </c>
      <c r="H145" s="621" t="str">
        <f t="shared" si="29"/>
        <v>√</v>
      </c>
      <c r="I145" s="622"/>
      <c r="J145" s="623"/>
      <c r="K145" s="348"/>
      <c r="L145" s="348"/>
      <c r="M145" s="408" t="s">
        <v>570</v>
      </c>
      <c r="N145" s="630" t="str">
        <f>INDEX(Odds!H:H,MATCH(M145,Odds!G:G,0))</f>
        <v>1/2</v>
      </c>
      <c r="O145" s="631">
        <f>INDEX(Odds!I:I,MATCH(M145,Odds!G:G,0))</f>
        <v>1.5</v>
      </c>
      <c r="P145" s="626">
        <f>INDEX(Odds!J:J,MATCH(M145,Odds!G:G,0))</f>
        <v>1</v>
      </c>
      <c r="Q145" s="632">
        <f t="shared" si="30"/>
        <v>1.5</v>
      </c>
      <c r="R145" s="505"/>
      <c r="U145" s="35" t="str">
        <f>IF(Odds!G145="","",Odds!G145)</f>
        <v/>
      </c>
      <c r="V145" s="36" t="str">
        <f>INDEX(Odds!H:H,MATCH(U145,Odds!G:G,0))</f>
        <v/>
      </c>
      <c r="W145" s="40">
        <f t="shared" si="31"/>
        <v>0</v>
      </c>
      <c r="AB145" s="8">
        <f>INDEX(Odds!K:K,MATCH(M145,Odds!G:G,0))</f>
        <v>1</v>
      </c>
      <c r="AE145" s="508" t="str">
        <f>IF(R145="","",INDEX(Odds!H:H,MATCH(R145,Odds!G:G,0)))</f>
        <v/>
      </c>
      <c r="AF145" s="508"/>
      <c r="AG145" s="58"/>
      <c r="AH145" s="58"/>
      <c r="AI145" s="405"/>
      <c r="AJ145" s="58"/>
    </row>
    <row r="146" spans="1:36" ht="13.9" thickTop="1" thickBot="1">
      <c r="A146" s="604" t="str">
        <f>Results!B146</f>
        <v>Tom Robinson</v>
      </c>
      <c r="B146" s="604" t="str">
        <f>INDEX(Table!E:E,MATCH(A146,Table!F:F,0))</f>
        <v>B</v>
      </c>
      <c r="C146" s="645">
        <f>INDEX(Table!D:D,MATCH(A146,Table!F:F,0))</f>
        <v>7</v>
      </c>
      <c r="D146" s="649">
        <f>INDEX(Table!I:I,MATCH(A146,Table!F:F,0))</f>
        <v>-14.828409090909091</v>
      </c>
      <c r="E146" s="605" t="str">
        <f t="shared" si="27"/>
        <v>Fleetwood</v>
      </c>
      <c r="F146" s="606">
        <f>IF(M146="","",INDEX(Odds!C:C,MATCH(M146,Odds!G:G,0)))</f>
        <v>7</v>
      </c>
      <c r="G146" s="607">
        <f t="shared" si="28"/>
        <v>1.85</v>
      </c>
      <c r="H146" s="608" t="str">
        <f t="shared" si="29"/>
        <v>x</v>
      </c>
      <c r="I146" s="609">
        <f>IF(M146="",-10,INDEX(Results!T:T,MATCH(A146,Results!V:V,0)))</f>
        <v>2.25</v>
      </c>
      <c r="J146" s="610">
        <f>IF(M146="","",INDEX(Results!AI:AI,MATCH(A146,Results!V:V,0)))</f>
        <v>21.212499999999999</v>
      </c>
      <c r="K146" s="348" t="str">
        <f>IF(INDEX(Table!Q:Q,MATCH(A146,Table!F:F,0))="N","N","Y")</f>
        <v>Y</v>
      </c>
      <c r="L146" s="347">
        <f>INDEX(Picks!AJ:AJ,MATCH(A146,Picks!AG:AG,0))</f>
        <v>10</v>
      </c>
      <c r="M146" s="407" t="s">
        <v>593</v>
      </c>
      <c r="N146" s="624" t="str">
        <f>INDEX(Odds!H:H,MATCH(M146,Odds!G:G,0))</f>
        <v>17/20</v>
      </c>
      <c r="O146" s="625">
        <f>INDEX(Odds!I:I,MATCH(M146,Odds!G:G,0))</f>
        <v>1.85</v>
      </c>
      <c r="P146" s="633">
        <f>INDEX(Odds!J:J,MATCH(M146,Odds!G:G,0))</f>
        <v>0</v>
      </c>
      <c r="Q146" s="627">
        <f t="shared" si="30"/>
        <v>0</v>
      </c>
      <c r="R146" s="504"/>
      <c r="U146" s="35" t="str">
        <f>IF(Odds!G146="","",Odds!G146)</f>
        <v/>
      </c>
      <c r="V146" s="36" t="str">
        <f>INDEX(Odds!H:H,MATCH(U146,Odds!G:G,0))</f>
        <v/>
      </c>
      <c r="W146" s="40">
        <f t="shared" si="31"/>
        <v>0</v>
      </c>
      <c r="AB146" s="8">
        <f>INDEX(Odds!K:K,MATCH(M146,Odds!G:G,0))</f>
        <v>1</v>
      </c>
      <c r="AE146" s="507" t="str">
        <f>IF(R146="","",INDEX(Odds!H:H,MATCH(R146,Odds!G:G,0)))</f>
        <v/>
      </c>
      <c r="AF146" s="507"/>
      <c r="AG146" s="58"/>
      <c r="AH146" s="58"/>
      <c r="AI146" s="405"/>
      <c r="AJ146" s="58"/>
    </row>
    <row r="147" spans="1:36">
      <c r="A147" s="611" t="str">
        <f>A146</f>
        <v>Tom Robinson</v>
      </c>
      <c r="B147" s="611"/>
      <c r="C147" s="646"/>
      <c r="D147" s="650"/>
      <c r="E147" s="612" t="str">
        <f t="shared" si="27"/>
        <v>Tranmere draw</v>
      </c>
      <c r="F147" s="606">
        <f>IF(M147="","",INDEX(Odds!C:C,MATCH(M147,Odds!G:G,0)))</f>
        <v>7</v>
      </c>
      <c r="G147" s="613">
        <f t="shared" si="28"/>
        <v>3.1</v>
      </c>
      <c r="H147" s="614" t="str">
        <f t="shared" si="29"/>
        <v>√</v>
      </c>
      <c r="I147" s="615"/>
      <c r="J147" s="616"/>
      <c r="K147" s="348">
        <f>IF(J146="",0,1)</f>
        <v>1</v>
      </c>
      <c r="L147" s="348"/>
      <c r="M147" s="407" t="s">
        <v>650</v>
      </c>
      <c r="N147" s="628" t="str">
        <f>INDEX(Odds!H:H,MATCH(M147,Odds!G:G,0))</f>
        <v>21/10</v>
      </c>
      <c r="O147" s="629">
        <f>INDEX(Odds!I:I,MATCH(M147,Odds!G:G,0))</f>
        <v>3.1</v>
      </c>
      <c r="P147" s="626">
        <f>INDEX(Odds!J:J,MATCH(M147,Odds!G:G,0))</f>
        <v>1</v>
      </c>
      <c r="Q147" s="627">
        <f t="shared" si="30"/>
        <v>3.1</v>
      </c>
      <c r="R147" s="504"/>
      <c r="U147" s="35" t="str">
        <f>IF(Odds!G147="","",Odds!G147)</f>
        <v/>
      </c>
      <c r="V147" s="36" t="str">
        <f>INDEX(Odds!H:H,MATCH(U147,Odds!G:G,0))</f>
        <v/>
      </c>
      <c r="W147" s="40">
        <f t="shared" si="31"/>
        <v>0</v>
      </c>
      <c r="AB147" s="8">
        <f>INDEX(Odds!K:K,MATCH(M147,Odds!G:G,0))</f>
        <v>1</v>
      </c>
      <c r="AE147" s="507" t="str">
        <f>IF(R147="","",INDEX(Odds!H:H,MATCH(R147,Odds!G:G,0)))</f>
        <v/>
      </c>
      <c r="AF147" s="507"/>
      <c r="AG147" s="58"/>
      <c r="AH147" s="58"/>
      <c r="AI147" s="405"/>
      <c r="AJ147" s="58"/>
    </row>
    <row r="148" spans="1:36" ht="13.5" thickBot="1">
      <c r="A148" s="617" t="str">
        <f>A146</f>
        <v>Tom Robinson</v>
      </c>
      <c r="B148" s="617"/>
      <c r="C148" s="647"/>
      <c r="D148" s="651"/>
      <c r="E148" s="618" t="str">
        <f t="shared" si="27"/>
        <v>York</v>
      </c>
      <c r="F148" s="619">
        <f>IF(M148="","",INDEX(Odds!C:C,MATCH(M148,Odds!G:G,0)))</f>
        <v>7</v>
      </c>
      <c r="G148" s="620">
        <f t="shared" si="28"/>
        <v>1.5</v>
      </c>
      <c r="H148" s="621" t="str">
        <f t="shared" si="29"/>
        <v>√</v>
      </c>
      <c r="I148" s="622"/>
      <c r="J148" s="623"/>
      <c r="K148" s="348"/>
      <c r="L148" s="348"/>
      <c r="M148" s="408" t="s">
        <v>570</v>
      </c>
      <c r="N148" s="630" t="str">
        <f>INDEX(Odds!H:H,MATCH(M148,Odds!G:G,0))</f>
        <v>1/2</v>
      </c>
      <c r="O148" s="631">
        <f>INDEX(Odds!I:I,MATCH(M148,Odds!G:G,0))</f>
        <v>1.5</v>
      </c>
      <c r="P148" s="626">
        <f>INDEX(Odds!J:J,MATCH(M148,Odds!G:G,0))</f>
        <v>1</v>
      </c>
      <c r="Q148" s="632">
        <f t="shared" si="30"/>
        <v>1.5</v>
      </c>
      <c r="R148" s="505"/>
      <c r="U148" s="35" t="str">
        <f>IF(Odds!G148="","",Odds!G148)</f>
        <v/>
      </c>
      <c r="V148" s="36" t="str">
        <f>INDEX(Odds!H:H,MATCH(U148,Odds!G:G,0))</f>
        <v/>
      </c>
      <c r="W148" s="40">
        <f t="shared" si="31"/>
        <v>0</v>
      </c>
      <c r="AB148" s="8">
        <f>INDEX(Odds!K:K,MATCH(M148,Odds!G:G,0))</f>
        <v>1</v>
      </c>
      <c r="AE148" s="508" t="str">
        <f>IF(R148="","",INDEX(Odds!H:H,MATCH(R148,Odds!G:G,0)))</f>
        <v/>
      </c>
      <c r="AF148" s="508"/>
      <c r="AG148" s="58"/>
      <c r="AH148" s="58"/>
      <c r="AI148" s="405"/>
      <c r="AJ148" s="58"/>
    </row>
    <row r="149" spans="1:36" ht="13.9" thickTop="1" thickBot="1">
      <c r="A149" s="604" t="str">
        <f>Results!B149</f>
        <v>Vinny Topping</v>
      </c>
      <c r="B149" s="604" t="str">
        <f>INDEX(Table!E:E,MATCH(A149,Table!F:F,0))</f>
        <v>B</v>
      </c>
      <c r="C149" s="645">
        <f>INDEX(Table!D:D,MATCH(A149,Table!F:F,0))</f>
        <v>6</v>
      </c>
      <c r="D149" s="649">
        <f>INDEX(Table!I:I,MATCH(A149,Table!F:F,0))</f>
        <v>-11.387727272727272</v>
      </c>
      <c r="E149" s="605" t="str">
        <f t="shared" si="27"/>
        <v>Bristol R</v>
      </c>
      <c r="F149" s="606">
        <f>IF(M149="","",INDEX(Odds!C:C,MATCH(M149,Odds!G:G,0)))</f>
        <v>7</v>
      </c>
      <c r="G149" s="607">
        <f t="shared" si="28"/>
        <v>1.7272727272727273</v>
      </c>
      <c r="H149" s="608" t="str">
        <f t="shared" si="29"/>
        <v>√</v>
      </c>
      <c r="I149" s="609">
        <f>IF(M149="",-10,INDEX(Results!T:T,MATCH(A149,Results!V:V,0)))</f>
        <v>-5.2727272727272725</v>
      </c>
      <c r="J149" s="610">
        <f>IF(M149="","",INDEX(Results!AI:AI,MATCH(A149,Results!V:V,0)))</f>
        <v>15.706818181818178</v>
      </c>
      <c r="K149" s="348" t="str">
        <f>IF(INDEX(Table!Q:Q,MATCH(A149,Table!F:F,0))="N","N","Y")</f>
        <v>Y</v>
      </c>
      <c r="L149" s="347">
        <f>INDEX(Picks!AJ:AJ,MATCH(A149,Picks!AG:AG,0))</f>
        <v>29</v>
      </c>
      <c r="M149" s="407" t="s">
        <v>527</v>
      </c>
      <c r="N149" s="624" t="str">
        <f>INDEX(Odds!H:H,MATCH(M149,Odds!G:G,0))</f>
        <v>8/11</v>
      </c>
      <c r="O149" s="625">
        <f>INDEX(Odds!I:I,MATCH(M149,Odds!G:G,0))</f>
        <v>1.7272727272727273</v>
      </c>
      <c r="P149" s="633">
        <f>INDEX(Odds!J:J,MATCH(M149,Odds!G:G,0))</f>
        <v>1</v>
      </c>
      <c r="Q149" s="627">
        <f t="shared" si="30"/>
        <v>1.7272727272727273</v>
      </c>
      <c r="R149" s="504"/>
      <c r="U149" s="35" t="str">
        <f>IF(Odds!G149="","",Odds!G149)</f>
        <v/>
      </c>
      <c r="V149" s="36" t="str">
        <f>INDEX(Odds!H:H,MATCH(U149,Odds!G:G,0))</f>
        <v/>
      </c>
      <c r="W149" s="40">
        <f t="shared" si="31"/>
        <v>0</v>
      </c>
      <c r="AB149" s="8">
        <f>INDEX(Odds!K:K,MATCH(M149,Odds!G:G,0))</f>
        <v>1</v>
      </c>
      <c r="AE149" s="507" t="str">
        <f>IF(R149="","",INDEX(Odds!H:H,MATCH(R149,Odds!G:G,0)))</f>
        <v/>
      </c>
      <c r="AF149" s="507"/>
      <c r="AG149" s="58"/>
      <c r="AH149" s="58"/>
      <c r="AI149" s="405"/>
      <c r="AJ149" s="58"/>
    </row>
    <row r="150" spans="1:36">
      <c r="A150" s="611" t="str">
        <f>A149</f>
        <v>Vinny Topping</v>
      </c>
      <c r="B150" s="611"/>
      <c r="C150" s="646"/>
      <c r="D150" s="650"/>
      <c r="E150" s="612" t="str">
        <f t="shared" si="27"/>
        <v>Fleetwood</v>
      </c>
      <c r="F150" s="606">
        <f>IF(M150="","",INDEX(Odds!C:C,MATCH(M150,Odds!G:G,0)))</f>
        <v>7</v>
      </c>
      <c r="G150" s="613">
        <f t="shared" si="28"/>
        <v>1.85</v>
      </c>
      <c r="H150" s="614" t="str">
        <f t="shared" si="29"/>
        <v>x</v>
      </c>
      <c r="I150" s="615"/>
      <c r="J150" s="616"/>
      <c r="K150" s="348">
        <f>IF(J149="",0,1)</f>
        <v>1</v>
      </c>
      <c r="L150" s="348"/>
      <c r="M150" s="407" t="s">
        <v>593</v>
      </c>
      <c r="N150" s="628" t="str">
        <f>INDEX(Odds!H:H,MATCH(M150,Odds!G:G,0))</f>
        <v>17/20</v>
      </c>
      <c r="O150" s="629">
        <f>INDEX(Odds!I:I,MATCH(M150,Odds!G:G,0))</f>
        <v>1.85</v>
      </c>
      <c r="P150" s="626">
        <f>INDEX(Odds!J:J,MATCH(M150,Odds!G:G,0))</f>
        <v>0</v>
      </c>
      <c r="Q150" s="627">
        <f t="shared" si="30"/>
        <v>0</v>
      </c>
      <c r="R150" s="504"/>
      <c r="U150" s="35" t="str">
        <f>IF(Odds!G150="","",Odds!G150)</f>
        <v/>
      </c>
      <c r="V150" s="36" t="str">
        <f>INDEX(Odds!H:H,MATCH(U150,Odds!G:G,0))</f>
        <v/>
      </c>
      <c r="W150" s="40">
        <f t="shared" si="31"/>
        <v>0</v>
      </c>
      <c r="AB150" s="8">
        <f>INDEX(Odds!K:K,MATCH(M150,Odds!G:G,0))</f>
        <v>1</v>
      </c>
      <c r="AE150" s="507" t="str">
        <f>IF(R150="","",INDEX(Odds!H:H,MATCH(R150,Odds!G:G,0)))</f>
        <v/>
      </c>
      <c r="AF150" s="507"/>
      <c r="AG150" s="58"/>
      <c r="AH150" s="58"/>
      <c r="AI150" s="405"/>
      <c r="AJ150" s="58"/>
    </row>
    <row r="151" spans="1:36" ht="13.5" thickBot="1">
      <c r="A151" s="617" t="str">
        <f>A149</f>
        <v>Vinny Topping</v>
      </c>
      <c r="B151" s="617"/>
      <c r="C151" s="647"/>
      <c r="D151" s="651"/>
      <c r="E151" s="618" t="str">
        <f t="shared" si="27"/>
        <v>Swindon</v>
      </c>
      <c r="F151" s="619">
        <f>IF(M151="","",INDEX(Odds!C:C,MATCH(M151,Odds!G:G,0)))</f>
        <v>7</v>
      </c>
      <c r="G151" s="620">
        <f t="shared" si="28"/>
        <v>2.0499999999999998</v>
      </c>
      <c r="H151" s="621" t="str">
        <f t="shared" si="29"/>
        <v>x</v>
      </c>
      <c r="I151" s="622"/>
      <c r="J151" s="623"/>
      <c r="K151" s="348"/>
      <c r="L151" s="348"/>
      <c r="M151" s="408" t="s">
        <v>571</v>
      </c>
      <c r="N151" s="630" t="str">
        <f>INDEX(Odds!H:H,MATCH(M151,Odds!G:G,0))</f>
        <v>21/20</v>
      </c>
      <c r="O151" s="631">
        <f>INDEX(Odds!I:I,MATCH(M151,Odds!G:G,0))</f>
        <v>2.0499999999999998</v>
      </c>
      <c r="P151" s="687">
        <f>INDEX(Odds!J:J,MATCH(M151,Odds!G:G,0))</f>
        <v>0</v>
      </c>
      <c r="Q151" s="632">
        <f t="shared" si="30"/>
        <v>0</v>
      </c>
      <c r="R151" s="505"/>
      <c r="U151" s="35" t="str">
        <f>IF(Odds!G151="","",Odds!G151)</f>
        <v/>
      </c>
      <c r="V151" s="36" t="str">
        <f>INDEX(Odds!H:H,MATCH(U151,Odds!G:G,0))</f>
        <v/>
      </c>
      <c r="W151" s="40">
        <f t="shared" si="31"/>
        <v>0</v>
      </c>
      <c r="AB151" s="8">
        <f>INDEX(Odds!K:K,MATCH(M151,Odds!G:G,0))</f>
        <v>1</v>
      </c>
      <c r="AE151" s="508" t="str">
        <f>IF(R151="","",INDEX(Odds!H:H,MATCH(R151,Odds!G:G,0)))</f>
        <v/>
      </c>
      <c r="AF151" s="508"/>
      <c r="AG151" s="58"/>
      <c r="AH151" s="58"/>
      <c r="AI151" s="405"/>
      <c r="AJ151" s="58"/>
    </row>
    <row r="152" spans="1:36" thickTop="1">
      <c r="J152" s="681" t="s">
        <v>526</v>
      </c>
      <c r="K152" s="165" t="s">
        <v>526</v>
      </c>
      <c r="L152" s="165" t="s">
        <v>526</v>
      </c>
      <c r="M152" s="165"/>
      <c r="N152" s="165" t="s">
        <v>526</v>
      </c>
      <c r="O152" s="269" t="s">
        <v>526</v>
      </c>
      <c r="P152" s="269" t="s">
        <v>526</v>
      </c>
      <c r="Q152" s="165" t="s">
        <v>526</v>
      </c>
      <c r="R152" s="165"/>
      <c r="S152" s="165" t="s">
        <v>526</v>
      </c>
      <c r="T152" s="165" t="s">
        <v>526</v>
      </c>
      <c r="U152" s="165" t="s">
        <v>526</v>
      </c>
      <c r="V152" s="165" t="s">
        <v>526</v>
      </c>
      <c r="W152" t="s">
        <v>526</v>
      </c>
      <c r="AB152" s="8" t="e">
        <f>INDEX(Odds!K:K,MATCH(M152,Odds!G:G,0))</f>
        <v>#N/A</v>
      </c>
      <c r="AE152" s="18" t="str">
        <f>IF(R152="","",INDEX(Odds!H:H,MATCH(R152,Odds!G:G,0)))</f>
        <v/>
      </c>
      <c r="AF152" s="18"/>
      <c r="AG152" s="58"/>
      <c r="AH152" s="58"/>
      <c r="AI152" s="405"/>
      <c r="AJ152" s="58"/>
    </row>
    <row r="153" spans="1:36" ht="14.25" customHeight="1">
      <c r="J153" s="681" t="s">
        <v>526</v>
      </c>
      <c r="K153" s="165" t="s">
        <v>526</v>
      </c>
      <c r="L153" s="165" t="s">
        <v>526</v>
      </c>
      <c r="M153" s="165"/>
      <c r="N153" s="165" t="s">
        <v>526</v>
      </c>
      <c r="O153" s="269" t="s">
        <v>526</v>
      </c>
      <c r="P153" s="269" t="s">
        <v>526</v>
      </c>
      <c r="Q153" s="165" t="s">
        <v>526</v>
      </c>
      <c r="R153" s="165"/>
      <c r="S153" s="165" t="s">
        <v>526</v>
      </c>
      <c r="T153" s="165" t="s">
        <v>526</v>
      </c>
      <c r="U153" s="165" t="s">
        <v>526</v>
      </c>
      <c r="V153" s="165" t="s">
        <v>526</v>
      </c>
      <c r="W153" t="s">
        <v>526</v>
      </c>
      <c r="AB153" s="8" t="e">
        <f>INDEX(Odds!K:K,MATCH(M153,Odds!G:G,0))</f>
        <v>#N/A</v>
      </c>
      <c r="AE153" s="18" t="str">
        <f>IF(R153="","",INDEX(Odds!H:H,MATCH(R153,Odds!G:G,0)))</f>
        <v/>
      </c>
      <c r="AF153" s="18"/>
      <c r="AG153" s="58"/>
      <c r="AH153" s="58"/>
      <c r="AI153" s="405"/>
      <c r="AJ153" s="58"/>
    </row>
    <row r="154" spans="1:36" ht="12.75">
      <c r="J154" s="681" t="s">
        <v>526</v>
      </c>
      <c r="K154" s="165" t="s">
        <v>526</v>
      </c>
      <c r="L154" s="165" t="s">
        <v>526</v>
      </c>
      <c r="M154" s="165"/>
      <c r="N154" s="165" t="s">
        <v>526</v>
      </c>
      <c r="O154" s="269" t="s">
        <v>526</v>
      </c>
      <c r="P154" s="269" t="s">
        <v>526</v>
      </c>
      <c r="Q154" s="165" t="s">
        <v>526</v>
      </c>
      <c r="R154" s="165"/>
      <c r="S154" s="165" t="s">
        <v>526</v>
      </c>
      <c r="T154" s="165" t="s">
        <v>526</v>
      </c>
      <c r="U154" s="165" t="s">
        <v>526</v>
      </c>
      <c r="V154" s="165" t="s">
        <v>526</v>
      </c>
      <c r="W154" t="s">
        <v>526</v>
      </c>
      <c r="AB154" s="8" t="e">
        <f>INDEX(Odds!K:K,MATCH(M154,Odds!G:G,0))</f>
        <v>#N/A</v>
      </c>
      <c r="AE154" s="18" t="str">
        <f>IF(R154="","",INDEX(Odds!H:H,MATCH(R154,Odds!G:G,0)))</f>
        <v/>
      </c>
      <c r="AF154" s="18"/>
      <c r="AG154" s="58"/>
      <c r="AH154" s="58"/>
      <c r="AI154" s="405"/>
      <c r="AJ154" s="58"/>
    </row>
    <row r="155" spans="1:36" ht="12.75">
      <c r="J155" s="681" t="s">
        <v>526</v>
      </c>
      <c r="K155" s="165" t="s">
        <v>526</v>
      </c>
      <c r="L155" s="165" t="s">
        <v>526</v>
      </c>
      <c r="M155" s="165"/>
      <c r="N155" s="165" t="s">
        <v>526</v>
      </c>
      <c r="O155" s="269" t="s">
        <v>526</v>
      </c>
      <c r="P155" s="269" t="s">
        <v>526</v>
      </c>
      <c r="Q155" s="165" t="s">
        <v>526</v>
      </c>
      <c r="R155" s="165"/>
      <c r="S155" s="165" t="s">
        <v>526</v>
      </c>
      <c r="T155" s="165" t="s">
        <v>526</v>
      </c>
      <c r="U155" s="165" t="s">
        <v>526</v>
      </c>
      <c r="V155" s="165" t="s">
        <v>526</v>
      </c>
      <c r="W155" t="s">
        <v>526</v>
      </c>
      <c r="AB155" s="8" t="e">
        <f>INDEX(Odds!K:K,MATCH(M155,Odds!G:G,0))</f>
        <v>#N/A</v>
      </c>
      <c r="AE155" s="18" t="str">
        <f>IF(R155="","",INDEX(Odds!H:H,MATCH(R155,Odds!G:G,0)))</f>
        <v/>
      </c>
      <c r="AF155" s="18"/>
      <c r="AG155" s="58"/>
      <c r="AH155" s="58"/>
      <c r="AI155" s="405"/>
      <c r="AJ155" s="58"/>
    </row>
    <row r="156" spans="1:36" ht="12.75">
      <c r="J156" s="681" t="s">
        <v>526</v>
      </c>
      <c r="K156" s="165" t="s">
        <v>526</v>
      </c>
      <c r="L156" s="165" t="s">
        <v>526</v>
      </c>
      <c r="M156" s="165"/>
      <c r="N156" s="165" t="s">
        <v>526</v>
      </c>
      <c r="O156" s="269" t="s">
        <v>526</v>
      </c>
      <c r="P156" s="269" t="s">
        <v>526</v>
      </c>
      <c r="Q156" s="165" t="s">
        <v>526</v>
      </c>
      <c r="R156" s="165"/>
      <c r="S156" s="165" t="s">
        <v>526</v>
      </c>
      <c r="T156" s="165" t="s">
        <v>526</v>
      </c>
      <c r="U156" s="165" t="s">
        <v>526</v>
      </c>
      <c r="V156" s="165" t="s">
        <v>526</v>
      </c>
      <c r="W156" t="s">
        <v>526</v>
      </c>
      <c r="AB156" s="8" t="e">
        <f>INDEX(Odds!K:K,MATCH(M156,Odds!G:G,0))</f>
        <v>#N/A</v>
      </c>
      <c r="AE156" s="18" t="str">
        <f>IF(R156="","",INDEX(Odds!H:H,MATCH(R156,Odds!G:G,0)))</f>
        <v/>
      </c>
      <c r="AF156" s="18"/>
    </row>
    <row r="157" spans="1:36" ht="12.75">
      <c r="J157" s="681" t="s">
        <v>526</v>
      </c>
      <c r="K157" s="165" t="s">
        <v>526</v>
      </c>
      <c r="L157" s="165" t="s">
        <v>526</v>
      </c>
      <c r="M157" s="165"/>
      <c r="N157" s="165" t="s">
        <v>526</v>
      </c>
      <c r="O157" s="269" t="s">
        <v>526</v>
      </c>
      <c r="P157" s="269" t="s">
        <v>526</v>
      </c>
      <c r="Q157" s="165" t="s">
        <v>526</v>
      </c>
      <c r="R157" s="165"/>
      <c r="S157" s="165" t="s">
        <v>526</v>
      </c>
      <c r="T157" s="165" t="s">
        <v>526</v>
      </c>
      <c r="U157" s="165" t="s">
        <v>526</v>
      </c>
      <c r="V157" s="165" t="s">
        <v>526</v>
      </c>
      <c r="W157" t="s">
        <v>526</v>
      </c>
      <c r="AB157" s="8" t="e">
        <f>INDEX(Odds!K:K,MATCH(M157,Odds!G:G,0))</f>
        <v>#N/A</v>
      </c>
      <c r="AE157" s="18" t="str">
        <f>IF(R157="","",INDEX(Odds!H:H,MATCH(R157,Odds!G:G,0)))</f>
        <v/>
      </c>
      <c r="AF157" s="18"/>
    </row>
    <row r="158" spans="1:36" ht="12.75">
      <c r="J158" s="681" t="s">
        <v>526</v>
      </c>
      <c r="K158" s="165" t="s">
        <v>526</v>
      </c>
      <c r="L158" s="165" t="s">
        <v>526</v>
      </c>
      <c r="M158" s="165"/>
      <c r="N158" s="165" t="s">
        <v>526</v>
      </c>
      <c r="O158" s="269" t="s">
        <v>526</v>
      </c>
      <c r="P158" s="269" t="s">
        <v>526</v>
      </c>
      <c r="Q158" s="165" t="s">
        <v>526</v>
      </c>
      <c r="R158" s="165"/>
      <c r="S158" s="165" t="s">
        <v>526</v>
      </c>
      <c r="T158" s="165" t="s">
        <v>526</v>
      </c>
      <c r="U158" s="165" t="s">
        <v>526</v>
      </c>
      <c r="V158" s="165" t="s">
        <v>526</v>
      </c>
      <c r="W158" t="s">
        <v>526</v>
      </c>
      <c r="AB158" s="8" t="e">
        <f>INDEX(Odds!K:K,MATCH(M158,Odds!G:G,0))</f>
        <v>#N/A</v>
      </c>
      <c r="AE158" s="18" t="str">
        <f>IF(R158="","",INDEX(Odds!H:H,MATCH(R158,Odds!G:G,0)))</f>
        <v/>
      </c>
      <c r="AF158" s="18"/>
    </row>
    <row r="159" spans="1:36" ht="12.75">
      <c r="J159" s="681" t="s">
        <v>526</v>
      </c>
      <c r="K159" s="165" t="s">
        <v>526</v>
      </c>
      <c r="L159" s="165" t="s">
        <v>526</v>
      </c>
      <c r="M159" s="165"/>
      <c r="N159" s="165" t="s">
        <v>526</v>
      </c>
      <c r="O159" s="269" t="s">
        <v>526</v>
      </c>
      <c r="P159" s="269" t="s">
        <v>526</v>
      </c>
      <c r="Q159" s="165" t="s">
        <v>526</v>
      </c>
      <c r="R159" s="165"/>
      <c r="S159" s="165" t="s">
        <v>526</v>
      </c>
      <c r="T159" s="165" t="s">
        <v>526</v>
      </c>
      <c r="U159" s="165" t="s">
        <v>526</v>
      </c>
      <c r="V159" s="165" t="s">
        <v>526</v>
      </c>
      <c r="W159" t="s">
        <v>526</v>
      </c>
      <c r="AB159" s="8" t="e">
        <f>INDEX(Odds!K:K,MATCH(M159,Odds!G:G,0))</f>
        <v>#N/A</v>
      </c>
      <c r="AE159" s="18" t="str">
        <f>IF(R159="","",INDEX(Odds!H:H,MATCH(R159,Odds!G:G,0)))</f>
        <v/>
      </c>
      <c r="AF159" s="18"/>
    </row>
    <row r="160" spans="1:36" ht="12.75">
      <c r="J160" s="681" t="s">
        <v>526</v>
      </c>
      <c r="K160" s="165" t="s">
        <v>526</v>
      </c>
      <c r="L160" s="165" t="s">
        <v>526</v>
      </c>
      <c r="M160" s="165"/>
      <c r="N160" s="165" t="s">
        <v>526</v>
      </c>
      <c r="O160" s="269" t="s">
        <v>526</v>
      </c>
      <c r="P160" s="269" t="s">
        <v>526</v>
      </c>
      <c r="Q160" s="165" t="s">
        <v>526</v>
      </c>
      <c r="R160" s="165"/>
      <c r="S160" s="165" t="s">
        <v>526</v>
      </c>
      <c r="T160" s="165" t="s">
        <v>526</v>
      </c>
      <c r="U160" s="165" t="s">
        <v>526</v>
      </c>
      <c r="V160" s="165" t="s">
        <v>526</v>
      </c>
      <c r="W160" t="s">
        <v>526</v>
      </c>
      <c r="AB160" s="8" t="e">
        <f>INDEX(Odds!K:K,MATCH(M160,Odds!G:G,0))</f>
        <v>#N/A</v>
      </c>
      <c r="AE160" s="18" t="str">
        <f>IF(R160="","",INDEX(Odds!H:H,MATCH(R160,Odds!G:G,0)))</f>
        <v/>
      </c>
      <c r="AF160" s="18"/>
    </row>
    <row r="161" spans="10:32" ht="12.75">
      <c r="J161" s="681" t="s">
        <v>526</v>
      </c>
      <c r="K161" s="165" t="s">
        <v>526</v>
      </c>
      <c r="L161" s="165" t="s">
        <v>526</v>
      </c>
      <c r="M161" s="165"/>
      <c r="N161" s="165" t="s">
        <v>526</v>
      </c>
      <c r="O161" s="269" t="s">
        <v>526</v>
      </c>
      <c r="P161" s="269" t="s">
        <v>526</v>
      </c>
      <c r="Q161" s="165" t="s">
        <v>526</v>
      </c>
      <c r="R161" s="165"/>
      <c r="S161" s="165" t="s">
        <v>526</v>
      </c>
      <c r="T161" s="165" t="s">
        <v>526</v>
      </c>
      <c r="U161" s="165" t="s">
        <v>526</v>
      </c>
      <c r="V161" s="165" t="s">
        <v>526</v>
      </c>
      <c r="W161" t="s">
        <v>526</v>
      </c>
      <c r="AB161" s="8" t="e">
        <f>INDEX(Odds!K:K,MATCH(M161,Odds!G:G,0))</f>
        <v>#N/A</v>
      </c>
      <c r="AE161" s="18" t="str">
        <f>IF(R161="","",INDEX(Odds!H:H,MATCH(R161,Odds!G:G,0)))</f>
        <v/>
      </c>
      <c r="AF161" s="18"/>
    </row>
    <row r="162" spans="10:32" ht="12.75">
      <c r="J162" s="681" t="s">
        <v>526</v>
      </c>
      <c r="K162" s="165" t="s">
        <v>526</v>
      </c>
      <c r="L162" s="165" t="s">
        <v>526</v>
      </c>
      <c r="M162" s="165"/>
      <c r="N162" s="165" t="s">
        <v>526</v>
      </c>
      <c r="O162" s="269" t="s">
        <v>526</v>
      </c>
      <c r="P162" s="269" t="s">
        <v>526</v>
      </c>
      <c r="Q162" s="165" t="s">
        <v>526</v>
      </c>
      <c r="R162" s="165"/>
      <c r="S162" s="165" t="s">
        <v>526</v>
      </c>
      <c r="T162" s="165" t="s">
        <v>526</v>
      </c>
      <c r="U162" s="165" t="s">
        <v>526</v>
      </c>
      <c r="V162" s="165" t="s">
        <v>526</v>
      </c>
      <c r="W162" t="s">
        <v>526</v>
      </c>
      <c r="AB162" s="8" t="e">
        <f>INDEX(Odds!K:K,MATCH(M162,Odds!G:G,0))</f>
        <v>#N/A</v>
      </c>
      <c r="AE162" s="18" t="str">
        <f>IF(R162="","",INDEX(Odds!H:H,MATCH(R162,Odds!G:G,0)))</f>
        <v/>
      </c>
      <c r="AF162" s="18"/>
    </row>
    <row r="163" spans="10:32" ht="12.75">
      <c r="J163" s="681" t="s">
        <v>526</v>
      </c>
      <c r="K163" s="165" t="s">
        <v>526</v>
      </c>
      <c r="L163" s="165" t="s">
        <v>526</v>
      </c>
      <c r="M163" s="165"/>
      <c r="N163" s="165" t="s">
        <v>526</v>
      </c>
      <c r="O163" s="269" t="s">
        <v>526</v>
      </c>
      <c r="P163" s="269" t="s">
        <v>526</v>
      </c>
      <c r="Q163" s="165" t="s">
        <v>526</v>
      </c>
      <c r="R163" s="165"/>
      <c r="S163" s="165" t="s">
        <v>526</v>
      </c>
      <c r="T163" s="165" t="s">
        <v>526</v>
      </c>
      <c r="U163" s="165" t="s">
        <v>526</v>
      </c>
      <c r="V163" s="165" t="s">
        <v>526</v>
      </c>
      <c r="W163" t="s">
        <v>526</v>
      </c>
      <c r="AB163" s="8" t="e">
        <f>INDEX(Odds!K:K,MATCH(M163,Odds!G:G,0))</f>
        <v>#N/A</v>
      </c>
      <c r="AE163" s="18" t="str">
        <f>IF(R163="","",INDEX(Odds!H:H,MATCH(R163,Odds!G:G,0)))</f>
        <v/>
      </c>
      <c r="AF163" s="18"/>
    </row>
    <row r="164" spans="10:32" ht="12.75">
      <c r="J164" s="681" t="s">
        <v>526</v>
      </c>
      <c r="K164" s="165" t="s">
        <v>526</v>
      </c>
      <c r="L164" s="165" t="s">
        <v>526</v>
      </c>
      <c r="M164" s="165"/>
      <c r="N164" s="165" t="s">
        <v>526</v>
      </c>
      <c r="O164" s="269" t="s">
        <v>526</v>
      </c>
      <c r="P164" s="269" t="s">
        <v>526</v>
      </c>
      <c r="Q164" s="165" t="s">
        <v>526</v>
      </c>
      <c r="R164" s="165"/>
      <c r="S164" s="165" t="s">
        <v>526</v>
      </c>
      <c r="T164" s="165" t="s">
        <v>526</v>
      </c>
      <c r="U164" s="165" t="s">
        <v>526</v>
      </c>
      <c r="V164" s="165" t="s">
        <v>526</v>
      </c>
      <c r="W164" t="s">
        <v>526</v>
      </c>
      <c r="AB164" s="8" t="e">
        <f>INDEX(Odds!K:K,MATCH(M164,Odds!G:G,0))</f>
        <v>#N/A</v>
      </c>
      <c r="AE164" s="18" t="str">
        <f>IF(R164="","",INDEX(Odds!H:H,MATCH(R164,Odds!G:G,0)))</f>
        <v/>
      </c>
      <c r="AF164" s="18"/>
    </row>
    <row r="165" spans="10:32" ht="12.75">
      <c r="J165" s="681" t="s">
        <v>526</v>
      </c>
      <c r="K165" s="165" t="s">
        <v>526</v>
      </c>
      <c r="L165" s="165" t="s">
        <v>526</v>
      </c>
      <c r="M165" s="165"/>
      <c r="N165" s="165" t="s">
        <v>526</v>
      </c>
      <c r="O165" s="269" t="s">
        <v>526</v>
      </c>
      <c r="P165" s="269" t="s">
        <v>526</v>
      </c>
      <c r="Q165" s="165" t="s">
        <v>526</v>
      </c>
      <c r="R165" s="165"/>
      <c r="S165" s="165" t="s">
        <v>526</v>
      </c>
      <c r="T165" s="165" t="s">
        <v>526</v>
      </c>
      <c r="U165" s="165" t="s">
        <v>526</v>
      </c>
      <c r="V165" s="165" t="s">
        <v>526</v>
      </c>
      <c r="W165" t="s">
        <v>526</v>
      </c>
      <c r="AB165" s="8" t="e">
        <f>INDEX(Odds!K:K,MATCH(M165,Odds!G:G,0))</f>
        <v>#N/A</v>
      </c>
      <c r="AE165" s="18" t="str">
        <f>IF(R165="","",INDEX(Odds!H:H,MATCH(R165,Odds!G:G,0)))</f>
        <v/>
      </c>
      <c r="AF165" s="18"/>
    </row>
    <row r="166" spans="10:32" ht="12.75">
      <c r="J166" s="681" t="s">
        <v>526</v>
      </c>
      <c r="K166" s="165" t="s">
        <v>526</v>
      </c>
      <c r="L166" s="165" t="s">
        <v>526</v>
      </c>
      <c r="M166" s="165"/>
      <c r="N166" s="165" t="s">
        <v>526</v>
      </c>
      <c r="O166" s="269" t="s">
        <v>526</v>
      </c>
      <c r="P166" s="269" t="s">
        <v>526</v>
      </c>
      <c r="Q166" s="165" t="s">
        <v>526</v>
      </c>
      <c r="R166" s="165"/>
      <c r="S166" s="165" t="s">
        <v>526</v>
      </c>
      <c r="T166" s="165" t="s">
        <v>526</v>
      </c>
      <c r="U166" s="165" t="s">
        <v>526</v>
      </c>
      <c r="V166" s="165" t="s">
        <v>526</v>
      </c>
      <c r="W166" t="s">
        <v>526</v>
      </c>
      <c r="AB166" s="8" t="e">
        <f>INDEX(Odds!K:K,MATCH(M166,Odds!G:G,0))</f>
        <v>#N/A</v>
      </c>
      <c r="AE166" s="18" t="str">
        <f>IF(R166="","",INDEX(Odds!H:H,MATCH(R166,Odds!G:G,0)))</f>
        <v/>
      </c>
      <c r="AF166" s="18"/>
    </row>
    <row r="167" spans="10:32" ht="13.5" customHeight="1">
      <c r="J167" s="681" t="s">
        <v>526</v>
      </c>
      <c r="K167" s="165" t="s">
        <v>526</v>
      </c>
      <c r="L167" s="165" t="s">
        <v>526</v>
      </c>
      <c r="M167" s="165"/>
      <c r="N167" s="165" t="s">
        <v>526</v>
      </c>
      <c r="O167" s="269" t="s">
        <v>526</v>
      </c>
      <c r="P167" s="269" t="s">
        <v>526</v>
      </c>
      <c r="Q167" s="165" t="s">
        <v>526</v>
      </c>
      <c r="R167" s="165"/>
      <c r="S167" s="165" t="s">
        <v>526</v>
      </c>
      <c r="T167" s="165" t="s">
        <v>526</v>
      </c>
      <c r="U167" s="165" t="s">
        <v>526</v>
      </c>
      <c r="V167" s="165" t="s">
        <v>526</v>
      </c>
      <c r="W167" t="s">
        <v>526</v>
      </c>
      <c r="AB167" s="8" t="e">
        <f>INDEX(Odds!K:K,MATCH(M167,Odds!G:G,0))</f>
        <v>#N/A</v>
      </c>
      <c r="AE167" s="18" t="str">
        <f>IF(R167="","",INDEX(Odds!H:H,MATCH(R167,Odds!G:G,0)))</f>
        <v/>
      </c>
      <c r="AF167" s="18"/>
    </row>
    <row r="168" spans="10:32" ht="12.75">
      <c r="J168" s="681" t="s">
        <v>526</v>
      </c>
      <c r="K168" s="165" t="s">
        <v>526</v>
      </c>
      <c r="L168" s="165" t="s">
        <v>526</v>
      </c>
      <c r="M168" s="165"/>
      <c r="N168" s="165" t="s">
        <v>526</v>
      </c>
      <c r="O168" s="269" t="s">
        <v>526</v>
      </c>
      <c r="P168" s="269" t="s">
        <v>526</v>
      </c>
      <c r="Q168" s="165" t="s">
        <v>526</v>
      </c>
      <c r="R168" s="165"/>
      <c r="S168" s="165" t="s">
        <v>526</v>
      </c>
      <c r="T168" s="165" t="s">
        <v>526</v>
      </c>
      <c r="U168" s="165" t="s">
        <v>526</v>
      </c>
      <c r="V168" s="165" t="s">
        <v>526</v>
      </c>
      <c r="W168" t="s">
        <v>526</v>
      </c>
      <c r="AB168" s="8" t="e">
        <f>INDEX(Odds!K:K,MATCH(M168,Odds!G:G,0))</f>
        <v>#N/A</v>
      </c>
      <c r="AE168" s="18" t="str">
        <f>IF(R168="","",INDEX(Odds!H:H,MATCH(R168,Odds!G:G,0)))</f>
        <v/>
      </c>
      <c r="AF168" s="18"/>
    </row>
    <row r="169" spans="10:32" ht="12.75">
      <c r="J169" s="681" t="s">
        <v>526</v>
      </c>
      <c r="K169" s="165" t="s">
        <v>526</v>
      </c>
      <c r="L169" s="165" t="s">
        <v>526</v>
      </c>
      <c r="M169" s="165"/>
      <c r="N169" s="165" t="s">
        <v>526</v>
      </c>
      <c r="O169" s="269" t="s">
        <v>526</v>
      </c>
      <c r="P169" s="269" t="s">
        <v>526</v>
      </c>
      <c r="Q169" s="165" t="s">
        <v>526</v>
      </c>
      <c r="R169" s="165"/>
      <c r="S169" s="165" t="s">
        <v>526</v>
      </c>
      <c r="T169" s="165" t="s">
        <v>526</v>
      </c>
      <c r="U169" s="165" t="s">
        <v>526</v>
      </c>
      <c r="V169" s="165" t="s">
        <v>526</v>
      </c>
      <c r="W169" t="s">
        <v>526</v>
      </c>
      <c r="AB169" s="8" t="e">
        <f>INDEX(Odds!K:K,MATCH(M169,Odds!G:G,0))</f>
        <v>#N/A</v>
      </c>
      <c r="AE169" s="18" t="str">
        <f>IF(R169="","",INDEX(Odds!H:H,MATCH(R169,Odds!G:G,0)))</f>
        <v/>
      </c>
      <c r="AF169" s="18"/>
    </row>
    <row r="170" spans="10:32" ht="12.75">
      <c r="J170" s="681" t="s">
        <v>526</v>
      </c>
      <c r="K170" s="165" t="s">
        <v>526</v>
      </c>
      <c r="L170" s="165" t="s">
        <v>526</v>
      </c>
      <c r="M170" s="165"/>
      <c r="N170" s="165" t="s">
        <v>526</v>
      </c>
      <c r="O170" s="269" t="s">
        <v>526</v>
      </c>
      <c r="P170" s="269" t="s">
        <v>526</v>
      </c>
      <c r="Q170" s="165" t="s">
        <v>526</v>
      </c>
      <c r="R170" s="165"/>
      <c r="S170" s="165" t="s">
        <v>526</v>
      </c>
      <c r="T170" s="165" t="s">
        <v>526</v>
      </c>
      <c r="U170" s="165" t="s">
        <v>526</v>
      </c>
      <c r="V170" s="165" t="s">
        <v>526</v>
      </c>
      <c r="W170" t="s">
        <v>526</v>
      </c>
      <c r="AB170" s="8" t="e">
        <f>INDEX(Odds!K:K,MATCH(M170,Odds!G:G,0))</f>
        <v>#N/A</v>
      </c>
      <c r="AE170" s="18" t="str">
        <f>IF(R170="","",INDEX(Odds!H:H,MATCH(R170,Odds!G:G,0)))</f>
        <v/>
      </c>
      <c r="AF170" s="18"/>
    </row>
    <row r="171" spans="10:32" ht="12.75">
      <c r="J171" s="681" t="s">
        <v>526</v>
      </c>
      <c r="K171" s="165" t="s">
        <v>526</v>
      </c>
      <c r="L171" s="165" t="s">
        <v>526</v>
      </c>
      <c r="M171" s="165"/>
      <c r="N171" s="165" t="s">
        <v>526</v>
      </c>
      <c r="O171" s="269" t="s">
        <v>526</v>
      </c>
      <c r="P171" s="269" t="s">
        <v>526</v>
      </c>
      <c r="Q171" s="165" t="s">
        <v>526</v>
      </c>
      <c r="R171" s="165"/>
      <c r="S171" s="165" t="s">
        <v>526</v>
      </c>
      <c r="T171" s="165" t="s">
        <v>526</v>
      </c>
      <c r="U171" s="165" t="s">
        <v>526</v>
      </c>
      <c r="V171" s="165" t="s">
        <v>526</v>
      </c>
      <c r="W171" t="s">
        <v>526</v>
      </c>
      <c r="AB171" s="8" t="e">
        <f>INDEX(Odds!K:K,MATCH(M171,Odds!G:G,0))</f>
        <v>#N/A</v>
      </c>
      <c r="AE171" s="18" t="str">
        <f>IF(R171="","",INDEX(Odds!H:H,MATCH(R171,Odds!G:G,0)))</f>
        <v/>
      </c>
      <c r="AF171" s="18"/>
    </row>
    <row r="172" spans="10:32" ht="12.75">
      <c r="J172" s="681" t="s">
        <v>526</v>
      </c>
      <c r="K172" s="165" t="s">
        <v>526</v>
      </c>
      <c r="L172" s="165" t="s">
        <v>526</v>
      </c>
      <c r="M172" s="165"/>
      <c r="N172" s="165" t="s">
        <v>526</v>
      </c>
      <c r="O172" s="269" t="s">
        <v>526</v>
      </c>
      <c r="P172" s="269" t="s">
        <v>526</v>
      </c>
      <c r="Q172" s="165" t="s">
        <v>526</v>
      </c>
      <c r="R172" s="165"/>
      <c r="S172" s="165" t="s">
        <v>526</v>
      </c>
      <c r="T172" s="165" t="s">
        <v>526</v>
      </c>
      <c r="U172" s="165" t="s">
        <v>526</v>
      </c>
      <c r="V172" s="165" t="s">
        <v>526</v>
      </c>
      <c r="W172" t="s">
        <v>526</v>
      </c>
      <c r="AB172" s="8" t="e">
        <f>INDEX(Odds!K:K,MATCH(M172,Odds!G:G,0))</f>
        <v>#N/A</v>
      </c>
      <c r="AE172" s="18" t="str">
        <f>IF(R172="","",INDEX(Odds!H:H,MATCH(R172,Odds!G:G,0)))</f>
        <v/>
      </c>
      <c r="AF172" s="18"/>
    </row>
    <row r="173" spans="10:32" ht="12.75">
      <c r="J173" s="681" t="s">
        <v>526</v>
      </c>
      <c r="K173" s="165" t="s">
        <v>526</v>
      </c>
      <c r="L173" s="165" t="s">
        <v>526</v>
      </c>
      <c r="M173" s="165"/>
      <c r="N173" s="165" t="s">
        <v>526</v>
      </c>
      <c r="O173" s="269" t="s">
        <v>526</v>
      </c>
      <c r="P173" s="269" t="s">
        <v>526</v>
      </c>
      <c r="Q173" s="165" t="s">
        <v>526</v>
      </c>
      <c r="R173" s="165"/>
      <c r="S173" s="165" t="s">
        <v>526</v>
      </c>
      <c r="T173" s="165" t="s">
        <v>526</v>
      </c>
      <c r="U173" s="165" t="s">
        <v>526</v>
      </c>
      <c r="V173" s="165" t="s">
        <v>526</v>
      </c>
      <c r="W173" t="s">
        <v>526</v>
      </c>
      <c r="AB173" s="8" t="e">
        <f>INDEX(Odds!K:K,MATCH(M173,Odds!G:G,0))</f>
        <v>#N/A</v>
      </c>
      <c r="AE173" s="18" t="str">
        <f>IF(R173="","",INDEX(Odds!H:H,MATCH(R173,Odds!G:G,0)))</f>
        <v/>
      </c>
      <c r="AF173" s="18"/>
    </row>
    <row r="174" spans="10:32" ht="12.75">
      <c r="J174" s="681" t="s">
        <v>526</v>
      </c>
      <c r="K174" s="165" t="s">
        <v>526</v>
      </c>
      <c r="L174" s="165" t="s">
        <v>526</v>
      </c>
      <c r="M174" s="165"/>
      <c r="N174" s="165" t="s">
        <v>526</v>
      </c>
      <c r="O174" s="269" t="s">
        <v>526</v>
      </c>
      <c r="P174" s="269" t="s">
        <v>526</v>
      </c>
      <c r="Q174" s="165" t="s">
        <v>526</v>
      </c>
      <c r="R174" s="165"/>
      <c r="S174" s="165" t="s">
        <v>526</v>
      </c>
      <c r="T174" s="165" t="s">
        <v>526</v>
      </c>
      <c r="U174" s="165" t="s">
        <v>526</v>
      </c>
      <c r="V174" s="165" t="s">
        <v>526</v>
      </c>
      <c r="W174" t="s">
        <v>526</v>
      </c>
      <c r="AB174" s="8" t="e">
        <f>INDEX(Odds!K:K,MATCH(M174,Odds!G:G,0))</f>
        <v>#N/A</v>
      </c>
      <c r="AE174" s="18" t="str">
        <f>IF(R174="","",INDEX(Odds!H:H,MATCH(R174,Odds!G:G,0)))</f>
        <v/>
      </c>
      <c r="AF174" s="18"/>
    </row>
    <row r="175" spans="10:32" ht="12.75">
      <c r="J175" s="681" t="s">
        <v>526</v>
      </c>
      <c r="K175" s="165" t="s">
        <v>526</v>
      </c>
      <c r="L175" s="165" t="s">
        <v>526</v>
      </c>
      <c r="M175" s="165"/>
      <c r="N175" s="165" t="s">
        <v>526</v>
      </c>
      <c r="O175" s="269" t="s">
        <v>526</v>
      </c>
      <c r="P175" s="269" t="s">
        <v>526</v>
      </c>
      <c r="Q175" s="165" t="s">
        <v>526</v>
      </c>
      <c r="R175" s="165"/>
      <c r="S175" s="165" t="s">
        <v>526</v>
      </c>
      <c r="T175" s="165" t="s">
        <v>526</v>
      </c>
      <c r="U175" s="165" t="s">
        <v>526</v>
      </c>
      <c r="V175" s="165" t="s">
        <v>526</v>
      </c>
      <c r="W175" t="s">
        <v>526</v>
      </c>
      <c r="AB175" s="8" t="e">
        <f>INDEX(Odds!K:K,MATCH(M175,Odds!G:G,0))</f>
        <v>#N/A</v>
      </c>
      <c r="AE175" s="18" t="str">
        <f>IF(R175="","",INDEX(Odds!H:H,MATCH(R175,Odds!G:G,0)))</f>
        <v/>
      </c>
      <c r="AF175" s="18"/>
    </row>
    <row r="176" spans="10:32" ht="12.75">
      <c r="J176" s="681" t="s">
        <v>526</v>
      </c>
      <c r="K176" s="165" t="s">
        <v>526</v>
      </c>
      <c r="L176" s="165" t="s">
        <v>526</v>
      </c>
      <c r="M176" s="165"/>
      <c r="N176" s="165" t="s">
        <v>526</v>
      </c>
      <c r="O176" s="269" t="s">
        <v>526</v>
      </c>
      <c r="P176" s="269" t="s">
        <v>526</v>
      </c>
      <c r="Q176" s="165" t="s">
        <v>526</v>
      </c>
      <c r="R176" s="165"/>
      <c r="S176" s="165" t="s">
        <v>526</v>
      </c>
      <c r="T176" s="165" t="s">
        <v>526</v>
      </c>
      <c r="U176" s="165" t="s">
        <v>526</v>
      </c>
      <c r="V176" s="165" t="s">
        <v>526</v>
      </c>
      <c r="W176" t="s">
        <v>526</v>
      </c>
      <c r="AB176" s="8" t="e">
        <f>INDEX(Odds!K:K,MATCH(M176,Odds!G:G,0))</f>
        <v>#N/A</v>
      </c>
      <c r="AE176" s="18" t="str">
        <f>IF(R176="","",INDEX(Odds!H:H,MATCH(R176,Odds!G:G,0)))</f>
        <v/>
      </c>
      <c r="AF176" s="18"/>
    </row>
    <row r="177" spans="10:32" ht="12.75">
      <c r="J177" s="681" t="s">
        <v>526</v>
      </c>
      <c r="K177" s="165" t="s">
        <v>526</v>
      </c>
      <c r="L177" s="165" t="s">
        <v>526</v>
      </c>
      <c r="M177" s="165"/>
      <c r="N177" s="165" t="s">
        <v>526</v>
      </c>
      <c r="O177" s="269" t="s">
        <v>526</v>
      </c>
      <c r="P177" s="269" t="s">
        <v>526</v>
      </c>
      <c r="Q177" s="165" t="s">
        <v>526</v>
      </c>
      <c r="R177" s="165"/>
      <c r="S177" s="165" t="s">
        <v>526</v>
      </c>
      <c r="T177" s="165" t="s">
        <v>526</v>
      </c>
      <c r="U177" s="165" t="s">
        <v>526</v>
      </c>
      <c r="V177" s="165" t="s">
        <v>526</v>
      </c>
      <c r="W177" t="s">
        <v>526</v>
      </c>
      <c r="AB177" s="8" t="e">
        <f>INDEX(Odds!K:K,MATCH(M177,Odds!G:G,0))</f>
        <v>#N/A</v>
      </c>
      <c r="AE177" s="18" t="str">
        <f>IF(R177="","",INDEX(Odds!H:H,MATCH(R177,Odds!G:G,0)))</f>
        <v/>
      </c>
      <c r="AF177" s="18"/>
    </row>
    <row r="178" spans="10:32" ht="12.75">
      <c r="J178" s="681" t="s">
        <v>526</v>
      </c>
      <c r="K178" s="165" t="s">
        <v>526</v>
      </c>
      <c r="L178" s="165" t="s">
        <v>526</v>
      </c>
      <c r="M178" s="165"/>
      <c r="N178" s="165" t="s">
        <v>526</v>
      </c>
      <c r="O178" s="269" t="s">
        <v>526</v>
      </c>
      <c r="P178" s="269" t="s">
        <v>526</v>
      </c>
      <c r="Q178" s="165" t="s">
        <v>526</v>
      </c>
      <c r="R178" s="165"/>
      <c r="S178" s="165" t="s">
        <v>526</v>
      </c>
      <c r="T178" s="165" t="s">
        <v>526</v>
      </c>
      <c r="U178" s="165" t="s">
        <v>526</v>
      </c>
      <c r="V178" s="165" t="s">
        <v>526</v>
      </c>
      <c r="W178" t="s">
        <v>526</v>
      </c>
      <c r="AB178" s="8" t="e">
        <f>INDEX(Odds!K:K,MATCH(M178,Odds!G:G,0))</f>
        <v>#N/A</v>
      </c>
      <c r="AE178" s="18" t="str">
        <f>IF(R178="","",INDEX(Odds!H:H,MATCH(R178,Odds!G:G,0)))</f>
        <v/>
      </c>
      <c r="AF178" s="18"/>
    </row>
    <row r="179" spans="10:32" ht="12.75">
      <c r="J179" s="681" t="s">
        <v>526</v>
      </c>
      <c r="K179" s="165" t="s">
        <v>526</v>
      </c>
      <c r="L179" s="165" t="s">
        <v>526</v>
      </c>
      <c r="M179" s="165"/>
      <c r="N179" s="165" t="s">
        <v>526</v>
      </c>
      <c r="O179" s="269" t="s">
        <v>526</v>
      </c>
      <c r="P179" s="269" t="s">
        <v>526</v>
      </c>
      <c r="Q179" s="165" t="s">
        <v>526</v>
      </c>
      <c r="R179" s="165"/>
      <c r="S179" s="165" t="s">
        <v>526</v>
      </c>
      <c r="T179" s="165" t="s">
        <v>526</v>
      </c>
      <c r="U179" s="165" t="s">
        <v>526</v>
      </c>
      <c r="V179" s="165" t="s">
        <v>526</v>
      </c>
      <c r="W179" t="s">
        <v>526</v>
      </c>
      <c r="AB179" s="8" t="e">
        <f>INDEX(Odds!K:K,MATCH(M179,Odds!G:G,0))</f>
        <v>#N/A</v>
      </c>
      <c r="AE179" s="18" t="str">
        <f>IF(R179="","",INDEX(Odds!H:H,MATCH(R179,Odds!G:G,0)))</f>
        <v/>
      </c>
      <c r="AF179" s="18"/>
    </row>
    <row r="180" spans="10:32" ht="12.75">
      <c r="J180" s="681" t="s">
        <v>526</v>
      </c>
      <c r="K180" s="165" t="s">
        <v>526</v>
      </c>
      <c r="L180" s="165" t="s">
        <v>526</v>
      </c>
      <c r="M180" s="165"/>
      <c r="N180" s="165" t="s">
        <v>526</v>
      </c>
      <c r="O180" s="269" t="s">
        <v>526</v>
      </c>
      <c r="P180" s="269" t="s">
        <v>526</v>
      </c>
      <c r="Q180" s="165" t="s">
        <v>526</v>
      </c>
      <c r="R180" s="165"/>
      <c r="S180" s="165" t="s">
        <v>526</v>
      </c>
      <c r="T180" s="165" t="s">
        <v>526</v>
      </c>
      <c r="U180" s="165" t="s">
        <v>526</v>
      </c>
      <c r="V180" s="165" t="s">
        <v>526</v>
      </c>
      <c r="W180" t="s">
        <v>526</v>
      </c>
      <c r="AB180" s="8" t="e">
        <f>INDEX(Odds!K:K,MATCH(M180,Odds!G:G,0))</f>
        <v>#N/A</v>
      </c>
      <c r="AE180" s="18" t="str">
        <f>IF(R180="","",INDEX(Odds!H:H,MATCH(R180,Odds!G:G,0)))</f>
        <v/>
      </c>
      <c r="AF180" s="18"/>
    </row>
    <row r="181" spans="10:32" ht="12.75">
      <c r="J181" s="681" t="s">
        <v>526</v>
      </c>
      <c r="K181" s="165" t="s">
        <v>526</v>
      </c>
      <c r="L181" s="165" t="s">
        <v>526</v>
      </c>
      <c r="M181" s="165"/>
      <c r="N181" s="165" t="s">
        <v>526</v>
      </c>
      <c r="O181" s="269" t="s">
        <v>526</v>
      </c>
      <c r="P181" s="269" t="s">
        <v>526</v>
      </c>
      <c r="Q181" s="165" t="s">
        <v>526</v>
      </c>
      <c r="R181" s="165"/>
      <c r="S181" s="165" t="s">
        <v>526</v>
      </c>
      <c r="T181" s="165" t="s">
        <v>526</v>
      </c>
      <c r="U181" s="165" t="s">
        <v>526</v>
      </c>
      <c r="V181" s="165" t="s">
        <v>526</v>
      </c>
      <c r="W181" t="s">
        <v>526</v>
      </c>
      <c r="AB181" s="8" t="e">
        <f>INDEX(Odds!K:K,MATCH(M181,Odds!G:G,0))</f>
        <v>#N/A</v>
      </c>
      <c r="AE181" s="18" t="str">
        <f>IF(R181="","",INDEX(Odds!H:H,MATCH(R181,Odds!G:G,0)))</f>
        <v/>
      </c>
      <c r="AF181" s="18"/>
    </row>
    <row r="182" spans="10:32" ht="12.75">
      <c r="J182" s="681" t="s">
        <v>526</v>
      </c>
      <c r="K182" s="165" t="s">
        <v>526</v>
      </c>
      <c r="L182" s="165" t="s">
        <v>526</v>
      </c>
      <c r="M182" s="165"/>
      <c r="N182" s="165" t="s">
        <v>526</v>
      </c>
      <c r="O182" s="269" t="s">
        <v>526</v>
      </c>
      <c r="P182" s="269" t="s">
        <v>526</v>
      </c>
      <c r="Q182" s="165" t="s">
        <v>526</v>
      </c>
      <c r="R182" s="165"/>
      <c r="S182" s="165" t="s">
        <v>526</v>
      </c>
      <c r="T182" s="165" t="s">
        <v>526</v>
      </c>
      <c r="U182" s="165" t="s">
        <v>526</v>
      </c>
      <c r="V182" s="165" t="s">
        <v>526</v>
      </c>
      <c r="W182" t="s">
        <v>526</v>
      </c>
      <c r="AB182" s="8" t="e">
        <f>INDEX(Odds!K:K,MATCH(M182,Odds!G:G,0))</f>
        <v>#N/A</v>
      </c>
      <c r="AE182" s="18" t="str">
        <f>IF(R182="","",INDEX(Odds!H:H,MATCH(R182,Odds!G:G,0)))</f>
        <v/>
      </c>
      <c r="AF182" s="18"/>
    </row>
    <row r="183" spans="10:32" ht="12.75">
      <c r="J183" s="681" t="s">
        <v>526</v>
      </c>
      <c r="K183" s="165" t="s">
        <v>526</v>
      </c>
      <c r="L183" s="165" t="s">
        <v>526</v>
      </c>
      <c r="M183" s="165"/>
      <c r="N183" s="165" t="s">
        <v>526</v>
      </c>
      <c r="O183" s="269" t="s">
        <v>526</v>
      </c>
      <c r="P183" s="269" t="s">
        <v>526</v>
      </c>
      <c r="Q183" s="165" t="s">
        <v>526</v>
      </c>
      <c r="R183" s="165"/>
      <c r="S183" s="165" t="s">
        <v>526</v>
      </c>
      <c r="T183" s="165" t="s">
        <v>526</v>
      </c>
      <c r="U183" s="165" t="s">
        <v>526</v>
      </c>
      <c r="V183" s="165" t="s">
        <v>526</v>
      </c>
      <c r="W183" t="s">
        <v>526</v>
      </c>
      <c r="AB183" s="8" t="e">
        <f>INDEX(Odds!K:K,MATCH(M183,Odds!G:G,0))</f>
        <v>#N/A</v>
      </c>
      <c r="AE183" s="18" t="str">
        <f>IF(R183="","",INDEX(Odds!H:H,MATCH(R183,Odds!G:G,0)))</f>
        <v/>
      </c>
      <c r="AF183" s="18"/>
    </row>
    <row r="184" spans="10:32" ht="12.75">
      <c r="J184" s="681" t="s">
        <v>526</v>
      </c>
      <c r="K184" s="165" t="s">
        <v>526</v>
      </c>
      <c r="L184" s="165" t="s">
        <v>526</v>
      </c>
      <c r="M184" s="165"/>
      <c r="N184" s="165" t="s">
        <v>526</v>
      </c>
      <c r="O184" s="269" t="s">
        <v>526</v>
      </c>
      <c r="P184" s="269" t="s">
        <v>526</v>
      </c>
      <c r="Q184" s="165" t="s">
        <v>526</v>
      </c>
      <c r="R184" s="165"/>
      <c r="S184" s="165" t="s">
        <v>526</v>
      </c>
      <c r="T184" s="165" t="s">
        <v>526</v>
      </c>
      <c r="U184" s="165" t="s">
        <v>526</v>
      </c>
      <c r="V184" s="165" t="s">
        <v>526</v>
      </c>
      <c r="W184" t="s">
        <v>526</v>
      </c>
      <c r="AB184" s="8" t="e">
        <f>INDEX(Odds!K:K,MATCH(M184,Odds!G:G,0))</f>
        <v>#N/A</v>
      </c>
      <c r="AE184" s="18" t="str">
        <f>IF(R184="","",INDEX(Odds!H:H,MATCH(R184,Odds!G:G,0)))</f>
        <v/>
      </c>
      <c r="AF184" s="18"/>
    </row>
    <row r="185" spans="10:32" ht="12.75">
      <c r="J185" s="681" t="s">
        <v>526</v>
      </c>
      <c r="K185" s="165" t="s">
        <v>526</v>
      </c>
      <c r="L185" s="165" t="s">
        <v>526</v>
      </c>
      <c r="M185" s="165"/>
      <c r="N185" s="165" t="s">
        <v>526</v>
      </c>
      <c r="O185" s="269" t="s">
        <v>526</v>
      </c>
      <c r="P185" s="269" t="s">
        <v>526</v>
      </c>
      <c r="Q185" s="165" t="s">
        <v>526</v>
      </c>
      <c r="R185" s="165"/>
      <c r="S185" s="165" t="s">
        <v>526</v>
      </c>
      <c r="T185" s="165" t="s">
        <v>526</v>
      </c>
      <c r="U185" s="165" t="s">
        <v>526</v>
      </c>
      <c r="V185" s="165" t="s">
        <v>526</v>
      </c>
      <c r="W185" t="s">
        <v>526</v>
      </c>
      <c r="AB185" s="8" t="e">
        <f>INDEX(Odds!K:K,MATCH(M185,Odds!G:G,0))</f>
        <v>#N/A</v>
      </c>
      <c r="AE185" s="18" t="str">
        <f>IF(R185="","",INDEX(Odds!H:H,MATCH(R185,Odds!G:G,0)))</f>
        <v/>
      </c>
      <c r="AF185" s="18"/>
    </row>
    <row r="186" spans="10:32">
      <c r="AB186" s="8" t="e">
        <f>INDEX(Odds!K:K,MATCH(M186,Odds!G:G,0))</f>
        <v>#N/A</v>
      </c>
      <c r="AE186" s="18" t="str">
        <f>IF(R186="","",INDEX(Odds!H:H,MATCH(R186,Odds!G:G,0)))</f>
        <v/>
      </c>
      <c r="AF186" s="18"/>
    </row>
    <row r="187" spans="10:32">
      <c r="AB187" s="8" t="e">
        <f>INDEX(Odds!K:K,MATCH(M187,Odds!G:G,0))</f>
        <v>#N/A</v>
      </c>
      <c r="AE187" s="18" t="str">
        <f>IF(R187="","",INDEX(Odds!H:H,MATCH(R187,Odds!G:G,0)))</f>
        <v/>
      </c>
      <c r="AF187" s="18"/>
    </row>
    <row r="188" spans="10:32">
      <c r="AB188" s="8" t="e">
        <f>INDEX(Odds!K:K,MATCH(M188,Odds!G:G,0))</f>
        <v>#N/A</v>
      </c>
      <c r="AE188" s="18" t="str">
        <f>IF(R188="","",INDEX(Odds!H:H,MATCH(R188,Odds!G:G,0)))</f>
        <v/>
      </c>
      <c r="AF188" s="18"/>
    </row>
    <row r="189" spans="10:32">
      <c r="AB189" s="8" t="e">
        <f>INDEX(Odds!K:K,MATCH(M189,Odds!G:G,0))</f>
        <v>#N/A</v>
      </c>
      <c r="AE189" s="18" t="str">
        <f>IF(R189="","",INDEX(Odds!H:H,MATCH(R189,Odds!G:G,0)))</f>
        <v/>
      </c>
      <c r="AF189" s="18"/>
    </row>
    <row r="190" spans="10:32">
      <c r="AB190" s="8" t="e">
        <f>INDEX(Odds!K:K,MATCH(M190,Odds!G:G,0))</f>
        <v>#N/A</v>
      </c>
      <c r="AE190" s="18" t="str">
        <f>IF(R190="","",INDEX(Odds!H:H,MATCH(R190,Odds!G:G,0)))</f>
        <v/>
      </c>
      <c r="AF190" s="18"/>
    </row>
    <row r="191" spans="10:32">
      <c r="AB191" s="8" t="e">
        <f>INDEX(Odds!K:K,MATCH(M191,Odds!G:G,0))</f>
        <v>#N/A</v>
      </c>
      <c r="AE191" s="18" t="str">
        <f>IF(R191="","",INDEX(Odds!H:H,MATCH(R191,Odds!G:G,0)))</f>
        <v/>
      </c>
      <c r="AF191" s="18"/>
    </row>
    <row r="192" spans="10:32">
      <c r="AB192" s="8" t="e">
        <f>INDEX(Odds!K:K,MATCH(M192,Odds!G:G,0))</f>
        <v>#N/A</v>
      </c>
      <c r="AE192" s="18" t="str">
        <f>IF(R192="","",INDEX(Odds!H:H,MATCH(R192,Odds!G:G,0)))</f>
        <v/>
      </c>
      <c r="AF192" s="18"/>
    </row>
    <row r="193" spans="28:32">
      <c r="AB193" s="8" t="e">
        <f>INDEX(Odds!K:K,MATCH(M193,Odds!G:G,0))</f>
        <v>#N/A</v>
      </c>
      <c r="AE193" s="18" t="str">
        <f>IF(R193="","",INDEX(Odds!H:H,MATCH(R193,Odds!G:G,0)))</f>
        <v/>
      </c>
      <c r="AF193" s="18"/>
    </row>
    <row r="194" spans="28:32">
      <c r="AB194" s="8" t="e">
        <f>INDEX(Odds!K:K,MATCH(M194,Odds!G:G,0))</f>
        <v>#N/A</v>
      </c>
      <c r="AE194" s="18" t="str">
        <f>IF(R194="","",INDEX(Odds!H:H,MATCH(R194,Odds!G:G,0)))</f>
        <v/>
      </c>
      <c r="AF194" s="18"/>
    </row>
    <row r="195" spans="28:32">
      <c r="AB195" s="8" t="e">
        <f>INDEX(Odds!K:K,MATCH(M195,Odds!G:G,0))</f>
        <v>#N/A</v>
      </c>
      <c r="AE195" s="18" t="str">
        <f>IF(R195="","",INDEX(Odds!H:H,MATCH(R195,Odds!G:G,0)))</f>
        <v/>
      </c>
      <c r="AF195" s="18"/>
    </row>
    <row r="196" spans="28:32">
      <c r="AB196" s="8" t="e">
        <f>INDEX(Odds!K:K,MATCH(M196,Odds!G:G,0))</f>
        <v>#N/A</v>
      </c>
      <c r="AE196" s="18" t="str">
        <f>IF(R196="","",INDEX(Odds!H:H,MATCH(R196,Odds!G:G,0)))</f>
        <v/>
      </c>
      <c r="AF196" s="18"/>
    </row>
    <row r="197" spans="28:32">
      <c r="AB197" s="8" t="e">
        <f>INDEX(Odds!K:K,MATCH(M197,Odds!G:G,0))</f>
        <v>#N/A</v>
      </c>
      <c r="AE197" s="18" t="str">
        <f>IF(R197="","",INDEX(Odds!H:H,MATCH(R197,Odds!G:G,0)))</f>
        <v/>
      </c>
      <c r="AF197" s="18"/>
    </row>
    <row r="198" spans="28:32">
      <c r="AB198" s="8" t="e">
        <f>INDEX(Odds!K:K,MATCH(M198,Odds!G:G,0))</f>
        <v>#N/A</v>
      </c>
      <c r="AE198" s="18" t="str">
        <f>IF(R198="","",INDEX(Odds!H:H,MATCH(R198,Odds!G:G,0)))</f>
        <v/>
      </c>
      <c r="AF198" s="18"/>
    </row>
    <row r="199" spans="28:32">
      <c r="AB199" s="8" t="e">
        <f>INDEX(Odds!K:K,MATCH(M199,Odds!G:G,0))</f>
        <v>#N/A</v>
      </c>
      <c r="AE199" s="18" t="str">
        <f>IF(R199="","",INDEX(Odds!H:H,MATCH(R199,Odds!G:G,0)))</f>
        <v/>
      </c>
      <c r="AF199" s="18"/>
    </row>
    <row r="200" spans="28:32">
      <c r="AB200" s="8" t="e">
        <f>INDEX(Odds!K:K,MATCH(M200,Odds!G:G,0))</f>
        <v>#N/A</v>
      </c>
      <c r="AE200" s="18" t="str">
        <f>IF(R200="","",INDEX(Odds!H:H,MATCH(R200,Odds!G:G,0)))</f>
        <v/>
      </c>
      <c r="AF200" s="18"/>
    </row>
    <row r="201" spans="28:32">
      <c r="AB201" s="8" t="e">
        <f>INDEX(Odds!K:K,MATCH(M201,Odds!G:G,0))</f>
        <v>#N/A</v>
      </c>
      <c r="AE201" s="18" t="str">
        <f>IF(R201="","",INDEX(Odds!H:H,MATCH(R201,Odds!G:G,0)))</f>
        <v/>
      </c>
      <c r="AF201" s="18"/>
    </row>
    <row r="202" spans="28:32">
      <c r="AB202" s="8" t="e">
        <f>INDEX(Odds!K:K,MATCH(M202,Odds!G:G,0))</f>
        <v>#N/A</v>
      </c>
      <c r="AE202" s="18" t="str">
        <f>IF(R202="","",INDEX(Odds!H:H,MATCH(R202,Odds!G:G,0)))</f>
        <v/>
      </c>
      <c r="AF202" s="18"/>
    </row>
    <row r="203" spans="28:32">
      <c r="AB203" s="8" t="e">
        <f>INDEX(Odds!K:K,MATCH(M203,Odds!G:G,0))</f>
        <v>#N/A</v>
      </c>
      <c r="AE203" s="18" t="str">
        <f>IF(R203="","",INDEX(Odds!H:H,MATCH(R203,Odds!G:G,0)))</f>
        <v/>
      </c>
      <c r="AF203" s="18"/>
    </row>
    <row r="204" spans="28:32">
      <c r="AB204" s="8" t="e">
        <f>INDEX(Odds!K:K,MATCH(M204,Odds!G:G,0))</f>
        <v>#N/A</v>
      </c>
      <c r="AE204" s="18" t="str">
        <f>IF(R204="","",INDEX(Odds!H:H,MATCH(R204,Odds!G:G,0)))</f>
        <v/>
      </c>
      <c r="AF204" s="18"/>
    </row>
    <row r="205" spans="28:32">
      <c r="AB205" s="8" t="e">
        <f>INDEX(Odds!K:K,MATCH(M205,Odds!G:G,0))</f>
        <v>#N/A</v>
      </c>
      <c r="AE205" s="18" t="str">
        <f>IF(R205="","",INDEX(Odds!H:H,MATCH(R205,Odds!G:G,0)))</f>
        <v/>
      </c>
      <c r="AF205" s="18"/>
    </row>
    <row r="206" spans="28:32">
      <c r="AB206" s="8" t="e">
        <f>INDEX(Odds!K:K,MATCH(M206,Odds!G:G,0))</f>
        <v>#N/A</v>
      </c>
      <c r="AE206" s="18" t="str">
        <f>IF(R206="","",INDEX(Odds!H:H,MATCH(R206,Odds!G:G,0)))</f>
        <v/>
      </c>
      <c r="AF206" s="18"/>
    </row>
    <row r="207" spans="28:32">
      <c r="AB207" s="8" t="e">
        <f>INDEX(Odds!K:K,MATCH(M207,Odds!G:G,0))</f>
        <v>#N/A</v>
      </c>
      <c r="AE207" s="18" t="str">
        <f>IF(R207="","",INDEX(Odds!H:H,MATCH(R207,Odds!G:G,0)))</f>
        <v/>
      </c>
      <c r="AF207" s="18"/>
    </row>
    <row r="208" spans="28:32">
      <c r="AB208" s="8" t="e">
        <f>INDEX(Odds!K:K,MATCH(M208,Odds!G:G,0))</f>
        <v>#N/A</v>
      </c>
      <c r="AE208" s="18" t="str">
        <f>IF(R208="","",INDEX(Odds!H:H,MATCH(R208,Odds!G:G,0)))</f>
        <v/>
      </c>
      <c r="AF208" s="18"/>
    </row>
    <row r="209" spans="28:32">
      <c r="AB209" s="8" t="e">
        <f>INDEX(Odds!K:K,MATCH(M209,Odds!G:G,0))</f>
        <v>#N/A</v>
      </c>
      <c r="AE209" s="18" t="str">
        <f>IF(R209="","",INDEX(Odds!H:H,MATCH(R209,Odds!G:G,0)))</f>
        <v/>
      </c>
      <c r="AF209" s="18"/>
    </row>
    <row r="210" spans="28:32">
      <c r="AB210" s="8" t="e">
        <f>INDEX(Odds!K:K,MATCH(M210,Odds!G:G,0))</f>
        <v>#N/A</v>
      </c>
      <c r="AE210" s="18" t="str">
        <f>IF(R210="","",INDEX(Odds!H:H,MATCH(R210,Odds!G:G,0)))</f>
        <v/>
      </c>
      <c r="AF210" s="18"/>
    </row>
    <row r="211" spans="28:32">
      <c r="AB211" s="8" t="e">
        <f>INDEX(Odds!K:K,MATCH(M211,Odds!G:G,0))</f>
        <v>#N/A</v>
      </c>
      <c r="AE211" s="18" t="str">
        <f>IF(R211="","",INDEX(Odds!H:H,MATCH(R211,Odds!G:G,0)))</f>
        <v/>
      </c>
      <c r="AF211" s="18"/>
    </row>
    <row r="212" spans="28:32">
      <c r="AB212" s="8" t="e">
        <f>INDEX(Odds!K:K,MATCH(M212,Odds!G:G,0))</f>
        <v>#N/A</v>
      </c>
      <c r="AE212" s="18" t="str">
        <f>IF(R212="","",INDEX(Odds!H:H,MATCH(R212,Odds!G:G,0)))</f>
        <v/>
      </c>
      <c r="AF212" s="18"/>
    </row>
    <row r="213" spans="28:32">
      <c r="AB213" s="8" t="e">
        <f>INDEX(Odds!K:K,MATCH(M213,Odds!G:G,0))</f>
        <v>#N/A</v>
      </c>
      <c r="AE213" s="18" t="str">
        <f>IF(R213="","",INDEX(Odds!H:H,MATCH(R213,Odds!G:G,0)))</f>
        <v/>
      </c>
      <c r="AF213" s="18"/>
    </row>
    <row r="214" spans="28:32">
      <c r="AB214" s="8" t="e">
        <f>INDEX(Odds!K:K,MATCH(M214,Odds!G:G,0))</f>
        <v>#N/A</v>
      </c>
      <c r="AE214" s="18" t="str">
        <f>IF(R214="","",INDEX(Odds!H:H,MATCH(R214,Odds!G:G,0)))</f>
        <v/>
      </c>
      <c r="AF214" s="18"/>
    </row>
    <row r="215" spans="28:32">
      <c r="AB215" s="8" t="e">
        <f>INDEX(Odds!K:K,MATCH(M215,Odds!G:G,0))</f>
        <v>#N/A</v>
      </c>
      <c r="AE215" s="18" t="str">
        <f>IF(R215="","",INDEX(Odds!H:H,MATCH(R215,Odds!G:G,0)))</f>
        <v/>
      </c>
      <c r="AF215" s="18"/>
    </row>
    <row r="216" spans="28:32">
      <c r="AB216" s="8" t="e">
        <f>INDEX(Odds!K:K,MATCH(M216,Odds!G:G,0))</f>
        <v>#N/A</v>
      </c>
      <c r="AE216" s="18" t="str">
        <f>IF(R216="","",INDEX(Odds!H:H,MATCH(R216,Odds!G:G,0)))</f>
        <v/>
      </c>
      <c r="AF216" s="18"/>
    </row>
    <row r="217" spans="28:32">
      <c r="AB217" s="8" t="e">
        <f>INDEX(Odds!K:K,MATCH(M217,Odds!G:G,0))</f>
        <v>#N/A</v>
      </c>
      <c r="AE217" s="18" t="str">
        <f>IF(R217="","",INDEX(Odds!H:H,MATCH(R217,Odds!G:G,0)))</f>
        <v/>
      </c>
      <c r="AF217" s="18"/>
    </row>
    <row r="218" spans="28:32">
      <c r="AB218" s="8" t="e">
        <f>INDEX(Odds!K:K,MATCH(M218,Odds!G:G,0))</f>
        <v>#N/A</v>
      </c>
      <c r="AE218" s="18" t="str">
        <f>IF(R218="","",INDEX(Odds!H:H,MATCH(R218,Odds!G:G,0)))</f>
        <v/>
      </c>
      <c r="AF218" s="18"/>
    </row>
    <row r="219" spans="28:32">
      <c r="AB219" s="8" t="e">
        <f>INDEX(Odds!K:K,MATCH(M219,Odds!G:G,0))</f>
        <v>#N/A</v>
      </c>
      <c r="AE219" s="18" t="str">
        <f>IF(R219="","",INDEX(Odds!H:H,MATCH(R219,Odds!G:G,0)))</f>
        <v/>
      </c>
      <c r="AF219" s="18"/>
    </row>
    <row r="220" spans="28:32">
      <c r="AB220" s="8" t="e">
        <f>INDEX(Odds!K:K,MATCH(M220,Odds!G:G,0))</f>
        <v>#N/A</v>
      </c>
      <c r="AE220" s="18" t="str">
        <f>IF(R220="","",INDEX(Odds!H:H,MATCH(R220,Odds!G:G,0)))</f>
        <v/>
      </c>
      <c r="AF220" s="18"/>
    </row>
    <row r="221" spans="28:32">
      <c r="AB221" s="8" t="e">
        <f>INDEX(Odds!K:K,MATCH(M221,Odds!G:G,0))</f>
        <v>#N/A</v>
      </c>
      <c r="AE221" s="18" t="str">
        <f>IF(R221="","",INDEX(Odds!H:H,MATCH(R221,Odds!G:G,0)))</f>
        <v/>
      </c>
      <c r="AF221" s="18"/>
    </row>
    <row r="222" spans="28:32">
      <c r="AB222" s="8" t="e">
        <f>INDEX(Odds!K:K,MATCH(M222,Odds!G:G,0))</f>
        <v>#N/A</v>
      </c>
      <c r="AE222" s="18" t="str">
        <f>IF(R222="","",INDEX(Odds!H:H,MATCH(R222,Odds!G:G,0)))</f>
        <v/>
      </c>
      <c r="AF222" s="18"/>
    </row>
    <row r="223" spans="28:32">
      <c r="AB223" s="8" t="e">
        <f>INDEX(Odds!K:K,MATCH(M223,Odds!G:G,0))</f>
        <v>#N/A</v>
      </c>
      <c r="AE223" s="18" t="str">
        <f>IF(R223="","",INDEX(Odds!H:H,MATCH(R223,Odds!G:G,0)))</f>
        <v/>
      </c>
      <c r="AF223" s="18"/>
    </row>
    <row r="224" spans="28:32">
      <c r="AB224" s="8" t="e">
        <f>INDEX(Odds!K:K,MATCH(M224,Odds!G:G,0))</f>
        <v>#N/A</v>
      </c>
      <c r="AE224" s="18" t="str">
        <f>IF(R224="","",INDEX(Odds!H:H,MATCH(R224,Odds!G:G,0)))</f>
        <v/>
      </c>
      <c r="AF224" s="18"/>
    </row>
    <row r="225" spans="28:32">
      <c r="AB225" s="8" t="e">
        <f>INDEX(Odds!K:K,MATCH(M225,Odds!G:G,0))</f>
        <v>#N/A</v>
      </c>
      <c r="AE225" s="18" t="str">
        <f>IF(R225="","",INDEX(Odds!H:H,MATCH(R225,Odds!G:G,0)))</f>
        <v/>
      </c>
      <c r="AF225" s="18"/>
    </row>
    <row r="226" spans="28:32">
      <c r="AB226" s="8" t="e">
        <f>INDEX(Odds!K:K,MATCH(M226,Odds!G:G,0))</f>
        <v>#N/A</v>
      </c>
      <c r="AE226" s="18" t="str">
        <f>IF(R226="","",INDEX(Odds!H:H,MATCH(R226,Odds!G:G,0)))</f>
        <v/>
      </c>
      <c r="AF226" s="18"/>
    </row>
    <row r="227" spans="28:32">
      <c r="AB227" s="8" t="e">
        <f>INDEX(Odds!K:K,MATCH(M227,Odds!G:G,0))</f>
        <v>#N/A</v>
      </c>
      <c r="AE227" s="18" t="str">
        <f>IF(R227="","",INDEX(Odds!H:H,MATCH(R227,Odds!G:G,0)))</f>
        <v/>
      </c>
      <c r="AF227" s="18"/>
    </row>
    <row r="228" spans="28:32">
      <c r="AB228" s="8" t="e">
        <f>INDEX(Odds!K:K,MATCH(M228,Odds!G:G,0))</f>
        <v>#N/A</v>
      </c>
      <c r="AE228" s="18" t="str">
        <f>IF(R228="","",INDEX(Odds!H:H,MATCH(R228,Odds!G:G,0)))</f>
        <v/>
      </c>
      <c r="AF228" s="18"/>
    </row>
    <row r="229" spans="28:32">
      <c r="AB229" s="8" t="e">
        <f>INDEX(Odds!K:K,MATCH(M229,Odds!G:G,0))</f>
        <v>#N/A</v>
      </c>
      <c r="AE229" s="18" t="str">
        <f>IF(R229="","",INDEX(Odds!H:H,MATCH(R229,Odds!G:G,0)))</f>
        <v/>
      </c>
      <c r="AF229" s="18"/>
    </row>
    <row r="230" spans="28:32">
      <c r="AB230" s="8" t="e">
        <f>INDEX(Odds!K:K,MATCH(M230,Odds!G:G,0))</f>
        <v>#N/A</v>
      </c>
    </row>
    <row r="231" spans="28:32">
      <c r="AB231" s="8" t="e">
        <f>INDEX(Odds!K:K,MATCH(M231,Odds!G:G,0))</f>
        <v>#N/A</v>
      </c>
    </row>
    <row r="232" spans="28:32">
      <c r="AB232" s="8" t="e">
        <f>INDEX(Odds!K:K,MATCH(M232,Odds!G:G,0))</f>
        <v>#N/A</v>
      </c>
    </row>
    <row r="233" spans="28:32">
      <c r="AB233" s="8" t="e">
        <f>INDEX(Odds!K:K,MATCH(M233,Odds!G:G,0))</f>
        <v>#N/A</v>
      </c>
    </row>
    <row r="234" spans="28:32">
      <c r="AB234" s="8" t="e">
        <f>INDEX(Odds!K:K,MATCH(M234,Odds!G:G,0))</f>
        <v>#N/A</v>
      </c>
    </row>
    <row r="235" spans="28:32">
      <c r="AB235" s="8" t="e">
        <f>INDEX(Odds!K:K,MATCH(M235,Odds!G:G,0))</f>
        <v>#N/A</v>
      </c>
    </row>
    <row r="236" spans="28:32">
      <c r="AB236" s="8" t="e">
        <f>INDEX(Odds!K:K,MATCH(M236,Odds!G:G,0))</f>
        <v>#N/A</v>
      </c>
    </row>
    <row r="237" spans="28:32">
      <c r="AB237" s="8" t="e">
        <f>INDEX(Odds!K:K,MATCH(M237,Odds!G:G,0))</f>
        <v>#N/A</v>
      </c>
    </row>
    <row r="238" spans="28:32" ht="144.75" customHeight="1">
      <c r="AB238" s="8" t="e">
        <f>INDEX(Odds!K:K,MATCH(M238,Odds!G:G,0))</f>
        <v>#N/A</v>
      </c>
    </row>
    <row r="239" spans="28:32">
      <c r="AB239" s="8" t="e">
        <f>INDEX(Odds!K:K,MATCH(M239,Odds!G:G,0))</f>
        <v>#N/A</v>
      </c>
    </row>
    <row r="240" spans="28:32">
      <c r="AB240" s="8" t="e">
        <f>INDEX(Odds!K:K,MATCH(M240,Odds!G:G,0))</f>
        <v>#N/A</v>
      </c>
    </row>
    <row r="241" spans="28:28">
      <c r="AB241" s="8" t="e">
        <f>INDEX(Odds!K:K,MATCH(M241,Odds!G:G,0))</f>
        <v>#N/A</v>
      </c>
    </row>
    <row r="242" spans="28:28">
      <c r="AB242" s="8" t="e">
        <f>INDEX(Odds!K:K,MATCH(M242,Odds!G:G,0))</f>
        <v>#N/A</v>
      </c>
    </row>
    <row r="243" spans="28:28">
      <c r="AB243" s="8" t="e">
        <f>INDEX(Odds!K:K,MATCH(M243,Odds!G:G,0))</f>
        <v>#N/A</v>
      </c>
    </row>
    <row r="244" spans="28:28">
      <c r="AB244" s="8" t="e">
        <f>INDEX(Odds!K:K,MATCH(M244,Odds!G:G,0))</f>
        <v>#N/A</v>
      </c>
    </row>
    <row r="245" spans="28:28">
      <c r="AB245" s="8" t="e">
        <f>INDEX(Odds!K:K,MATCH(M245,Odds!G:G,0))</f>
        <v>#N/A</v>
      </c>
    </row>
    <row r="246" spans="28:28">
      <c r="AB246" s="8" t="e">
        <f>INDEX(Odds!K:K,MATCH(M246,Odds!G:G,0))</f>
        <v>#N/A</v>
      </c>
    </row>
    <row r="247" spans="28:28">
      <c r="AB247" s="8" t="e">
        <f>INDEX(Odds!K:K,MATCH(M247,Odds!G:G,0))</f>
        <v>#N/A</v>
      </c>
    </row>
    <row r="248" spans="28:28">
      <c r="AB248" s="8" t="e">
        <f>INDEX(Odds!K:K,MATCH(M248,Odds!G:G,0))</f>
        <v>#N/A</v>
      </c>
    </row>
    <row r="249" spans="28:28">
      <c r="AB249" s="8" t="e">
        <f>INDEX(Odds!K:K,MATCH(M249,Odds!G:G,0))</f>
        <v>#N/A</v>
      </c>
    </row>
    <row r="250" spans="28:28">
      <c r="AB250" s="8" t="e">
        <f>INDEX(Odds!K:K,MATCH(M250,Odds!G:G,0))</f>
        <v>#N/A</v>
      </c>
    </row>
    <row r="251" spans="28:28">
      <c r="AB251" s="8" t="e">
        <f>INDEX(Odds!K:K,MATCH(M251,Odds!G:G,0))</f>
        <v>#N/A</v>
      </c>
    </row>
    <row r="252" spans="28:28">
      <c r="AB252" s="8" t="e">
        <f>INDEX(Odds!K:K,MATCH(M252,Odds!G:G,0))</f>
        <v>#N/A</v>
      </c>
    </row>
    <row r="253" spans="28:28">
      <c r="AB253" s="8" t="e">
        <f>INDEX(Odds!K:K,MATCH(M253,Odds!G:G,0))</f>
        <v>#N/A</v>
      </c>
    </row>
    <row r="254" spans="28:28">
      <c r="AB254" s="8" t="e">
        <f>INDEX(Odds!K:K,MATCH(M254,Odds!G:G,0))</f>
        <v>#N/A</v>
      </c>
    </row>
    <row r="255" spans="28:28">
      <c r="AB255" s="8" t="e">
        <f>INDEX(Odds!K:K,MATCH(M255,Odds!G:G,0))</f>
        <v>#N/A</v>
      </c>
    </row>
    <row r="256" spans="28:28">
      <c r="AB256" s="8" t="e">
        <f>INDEX(Odds!K:K,MATCH(M256,Odds!G:G,0))</f>
        <v>#N/A</v>
      </c>
    </row>
    <row r="257" spans="28:28">
      <c r="AB257" s="8" t="e">
        <f>INDEX(Odds!K:K,MATCH(M257,Odds!G:G,0))</f>
        <v>#N/A</v>
      </c>
    </row>
    <row r="258" spans="28:28">
      <c r="AB258" s="8" t="e">
        <f>INDEX(Odds!K:K,MATCH(M258,Odds!G:G,0))</f>
        <v>#N/A</v>
      </c>
    </row>
    <row r="259" spans="28:28">
      <c r="AB259" s="8" t="e">
        <f>INDEX(Odds!K:K,MATCH(M259,Odds!G:G,0))</f>
        <v>#N/A</v>
      </c>
    </row>
    <row r="260" spans="28:28">
      <c r="AB260" s="8" t="e">
        <f>INDEX(Odds!K:K,MATCH(M260,Odds!G:G,0))</f>
        <v>#N/A</v>
      </c>
    </row>
    <row r="261" spans="28:28">
      <c r="AB261" s="8" t="e">
        <f>INDEX(Odds!K:K,MATCH(M261,Odds!G:G,0))</f>
        <v>#N/A</v>
      </c>
    </row>
    <row r="262" spans="28:28">
      <c r="AB262" s="8" t="e">
        <f>INDEX(Odds!K:K,MATCH(M262,Odds!G:G,0))</f>
        <v>#N/A</v>
      </c>
    </row>
    <row r="263" spans="28:28">
      <c r="AB263" s="8" t="e">
        <f>INDEX(Odds!K:K,MATCH(M263,Odds!G:G,0))</f>
        <v>#N/A</v>
      </c>
    </row>
    <row r="264" spans="28:28">
      <c r="AB264" s="8" t="e">
        <f>INDEX(Odds!K:K,MATCH(M264,Odds!G:G,0))</f>
        <v>#N/A</v>
      </c>
    </row>
    <row r="265" spans="28:28">
      <c r="AB265" s="8" t="e">
        <f>INDEX(Odds!K:K,MATCH(M265,Odds!G:G,0))</f>
        <v>#N/A</v>
      </c>
    </row>
    <row r="266" spans="28:28">
      <c r="AB266" s="8" t="e">
        <f>INDEX(Odds!K:K,MATCH(M266,Odds!G:G,0))</f>
        <v>#N/A</v>
      </c>
    </row>
    <row r="267" spans="28:28">
      <c r="AB267" s="8" t="e">
        <f>INDEX(Odds!K:K,MATCH(M267,Odds!G:G,0))</f>
        <v>#N/A</v>
      </c>
    </row>
    <row r="268" spans="28:28">
      <c r="AB268" s="8" t="e">
        <f>INDEX(Odds!K:K,MATCH(M268,Odds!G:G,0))</f>
        <v>#N/A</v>
      </c>
    </row>
    <row r="269" spans="28:28">
      <c r="AB269" s="8" t="e">
        <f>INDEX(Odds!K:K,MATCH(M269,Odds!G:G,0))</f>
        <v>#N/A</v>
      </c>
    </row>
    <row r="270" spans="28:28">
      <c r="AB270" s="8" t="e">
        <f>INDEX(Odds!K:K,MATCH(M270,Odds!G:G,0))</f>
        <v>#N/A</v>
      </c>
    </row>
    <row r="271" spans="28:28">
      <c r="AB271" s="8" t="e">
        <f>INDEX(Odds!K:K,MATCH(M271,Odds!G:G,0))</f>
        <v>#N/A</v>
      </c>
    </row>
    <row r="272" spans="28:28">
      <c r="AB272" s="8" t="e">
        <f>INDEX(Odds!K:K,MATCH(M272,Odds!G:G,0))</f>
        <v>#N/A</v>
      </c>
    </row>
    <row r="273" spans="28:28">
      <c r="AB273" s="8" t="e">
        <f>INDEX(Odds!K:K,MATCH(M273,Odds!G:G,0))</f>
        <v>#N/A</v>
      </c>
    </row>
    <row r="274" spans="28:28">
      <c r="AB274" s="8" t="e">
        <f>INDEX(Odds!K:K,MATCH(M274,Odds!G:G,0))</f>
        <v>#N/A</v>
      </c>
    </row>
    <row r="275" spans="28:28">
      <c r="AB275" s="8" t="e">
        <f>INDEX(Odds!K:K,MATCH(M275,Odds!G:G,0))</f>
        <v>#N/A</v>
      </c>
    </row>
    <row r="276" spans="28:28">
      <c r="AB276" s="8" t="e">
        <f>INDEX(Odds!K:K,MATCH(M276,Odds!G:G,0))</f>
        <v>#N/A</v>
      </c>
    </row>
    <row r="277" spans="28:28">
      <c r="AB277" s="8" t="e">
        <f>INDEX(Odds!K:K,MATCH(M277,Odds!G:G,0))</f>
        <v>#N/A</v>
      </c>
    </row>
    <row r="278" spans="28:28">
      <c r="AB278" s="8" t="e">
        <f>INDEX(Odds!K:K,MATCH(M278,Odds!G:G,0))</f>
        <v>#N/A</v>
      </c>
    </row>
    <row r="279" spans="28:28">
      <c r="AB279" s="8" t="e">
        <f>INDEX(Odds!K:K,MATCH(M279,Odds!G:G,0))</f>
        <v>#N/A</v>
      </c>
    </row>
    <row r="280" spans="28:28">
      <c r="AB280" s="8" t="e">
        <f>INDEX(Odds!K:K,MATCH(M280,Odds!G:G,0))</f>
        <v>#N/A</v>
      </c>
    </row>
    <row r="281" spans="28:28">
      <c r="AB281" s="8" t="e">
        <f>INDEX(Odds!K:K,MATCH(M281,Odds!G:G,0))</f>
        <v>#N/A</v>
      </c>
    </row>
    <row r="282" spans="28:28">
      <c r="AB282" s="8" t="e">
        <f>INDEX(Odds!K:K,MATCH(M282,Odds!G:G,0))</f>
        <v>#N/A</v>
      </c>
    </row>
    <row r="283" spans="28:28">
      <c r="AB283" s="8" t="e">
        <f>INDEX(Odds!K:K,MATCH(M283,Odds!G:G,0))</f>
        <v>#N/A</v>
      </c>
    </row>
    <row r="284" spans="28:28">
      <c r="AB284" s="8" t="e">
        <f>INDEX(Odds!K:K,MATCH(M284,Odds!G:G,0))</f>
        <v>#N/A</v>
      </c>
    </row>
    <row r="285" spans="28:28">
      <c r="AB285" s="8" t="e">
        <f>INDEX(Odds!K:K,MATCH(M285,Odds!G:G,0))</f>
        <v>#N/A</v>
      </c>
    </row>
  </sheetData>
  <autoFilter ref="A1:AQ184" xr:uid="{CE4DE976-F766-4348-B813-63E9BA2F0CAD}"/>
  <sortState xmlns:xlrd2="http://schemas.microsoft.com/office/spreadsheetml/2017/richdata2" ref="AL2:AO136">
    <sortCondition ref="AM2:AM136"/>
  </sortState>
  <phoneticPr fontId="0" type="noConversion"/>
  <conditionalFormatting sqref="E2">
    <cfRule type="expression" dxfId="352" priority="496">
      <formula>AB2=0</formula>
    </cfRule>
  </conditionalFormatting>
  <conditionalFormatting sqref="E3:E4">
    <cfRule type="expression" dxfId="351" priority="495">
      <formula>AB3=0</formula>
    </cfRule>
  </conditionalFormatting>
  <conditionalFormatting sqref="K2:K151">
    <cfRule type="cellIs" dxfId="350" priority="476" operator="equal">
      <formula>"N"</formula>
    </cfRule>
  </conditionalFormatting>
  <conditionalFormatting sqref="E5 E8 E11 E14 E17 E20 E23 E26 E29 E32 E35 E38 E41 E44 E47 E50 E53 E56 E59 E62 E65 E68 E71 E74 E77 E80 E83 E86 E89 E92 E95 E98 E101 E104 E107 E110 E113 E116 E119 E122 E125 E128 E131">
    <cfRule type="expression" dxfId="349" priority="475">
      <formula>AB5=0</formula>
    </cfRule>
  </conditionalFormatting>
  <conditionalFormatting sqref="E6:E7 E9:E10 E12:E13 E15:E16 E18:E19 E21:E22 E24:E25 E27:E28 E30:E31 E33:E34 E36:E37 E39:E40 E42:E43 E45:E46 E48:E49 E51:E52 E54:E55 E57:E58 E60:E61 E63:E64 E66:E67 E69:E70 E72:E73 E75:E76 E78:E79 E81:E82 E84:E85 E87:E88 E90:E91 E93:E94 E96:E97 E99:E100 E102:E103 E105:E106 E108:E109 E111:E112 E114:E115 E117:E118 E120:E121 E123:E124 E126:E127 E129:E130 E132:E133">
    <cfRule type="expression" dxfId="348" priority="474">
      <formula>AB6=0</formula>
    </cfRule>
  </conditionalFormatting>
  <conditionalFormatting sqref="F2:F180">
    <cfRule type="cellIs" dxfId="347" priority="471" operator="notEqual">
      <formula>7</formula>
    </cfRule>
  </conditionalFormatting>
  <conditionalFormatting sqref="E134">
    <cfRule type="expression" dxfId="346" priority="470">
      <formula>AB134=0</formula>
    </cfRule>
  </conditionalFormatting>
  <conditionalFormatting sqref="E135:E136">
    <cfRule type="expression" dxfId="345" priority="469">
      <formula>AB135=0</formula>
    </cfRule>
  </conditionalFormatting>
  <conditionalFormatting sqref="E137">
    <cfRule type="expression" dxfId="344" priority="468">
      <formula>AB137=0</formula>
    </cfRule>
  </conditionalFormatting>
  <conditionalFormatting sqref="E138:E139">
    <cfRule type="expression" dxfId="343" priority="467">
      <formula>AB138=0</formula>
    </cfRule>
  </conditionalFormatting>
  <conditionalFormatting sqref="C2">
    <cfRule type="cellIs" dxfId="342" priority="409" stopIfTrue="1" operator="greaterThan">
      <formula>10</formula>
    </cfRule>
    <cfRule type="cellIs" dxfId="341" priority="464" stopIfTrue="1" operator="greaterThan">
      <formula>8</formula>
    </cfRule>
    <cfRule type="cellIs" dxfId="340" priority="465" stopIfTrue="1" operator="greaterThan">
      <formula>1</formula>
    </cfRule>
    <cfRule type="cellIs" dxfId="339" priority="466" stopIfTrue="1" operator="equal">
      <formula>1</formula>
    </cfRule>
  </conditionalFormatting>
  <conditionalFormatting sqref="C5">
    <cfRule type="cellIs" dxfId="338" priority="381" stopIfTrue="1" operator="greaterThan">
      <formula>10</formula>
    </cfRule>
    <cfRule type="cellIs" dxfId="337" priority="382" stopIfTrue="1" operator="greaterThan">
      <formula>8</formula>
    </cfRule>
    <cfRule type="cellIs" dxfId="336" priority="383" stopIfTrue="1" operator="greaterThan">
      <formula>1</formula>
    </cfRule>
    <cfRule type="cellIs" dxfId="335" priority="384" stopIfTrue="1" operator="equal">
      <formula>1</formula>
    </cfRule>
  </conditionalFormatting>
  <conditionalFormatting sqref="C8">
    <cfRule type="cellIs" dxfId="334" priority="377" stopIfTrue="1" operator="greaterThan">
      <formula>10</formula>
    </cfRule>
    <cfRule type="cellIs" dxfId="333" priority="378" stopIfTrue="1" operator="greaterThan">
      <formula>8</formula>
    </cfRule>
    <cfRule type="cellIs" dxfId="332" priority="379" stopIfTrue="1" operator="greaterThan">
      <formula>1</formula>
    </cfRule>
    <cfRule type="cellIs" dxfId="331" priority="380" stopIfTrue="1" operator="equal">
      <formula>1</formula>
    </cfRule>
  </conditionalFormatting>
  <conditionalFormatting sqref="C11">
    <cfRule type="cellIs" dxfId="330" priority="373" stopIfTrue="1" operator="greaterThan">
      <formula>10</formula>
    </cfRule>
    <cfRule type="cellIs" dxfId="329" priority="374" stopIfTrue="1" operator="greaterThan">
      <formula>8</formula>
    </cfRule>
    <cfRule type="cellIs" dxfId="328" priority="375" stopIfTrue="1" operator="greaterThan">
      <formula>1</formula>
    </cfRule>
    <cfRule type="cellIs" dxfId="327" priority="376" stopIfTrue="1" operator="equal">
      <formula>1</formula>
    </cfRule>
  </conditionalFormatting>
  <conditionalFormatting sqref="C14">
    <cfRule type="cellIs" dxfId="326" priority="369" stopIfTrue="1" operator="greaterThan">
      <formula>10</formula>
    </cfRule>
    <cfRule type="cellIs" dxfId="325" priority="370" stopIfTrue="1" operator="greaterThan">
      <formula>8</formula>
    </cfRule>
    <cfRule type="cellIs" dxfId="324" priority="371" stopIfTrue="1" operator="greaterThan">
      <formula>1</formula>
    </cfRule>
    <cfRule type="cellIs" dxfId="323" priority="372" stopIfTrue="1" operator="equal">
      <formula>1</formula>
    </cfRule>
  </conditionalFormatting>
  <conditionalFormatting sqref="C17">
    <cfRule type="cellIs" dxfId="322" priority="365" stopIfTrue="1" operator="greaterThan">
      <formula>10</formula>
    </cfRule>
    <cfRule type="cellIs" dxfId="321" priority="366" stopIfTrue="1" operator="greaterThan">
      <formula>8</formula>
    </cfRule>
    <cfRule type="cellIs" dxfId="320" priority="367" stopIfTrue="1" operator="greaterThan">
      <formula>1</formula>
    </cfRule>
    <cfRule type="cellIs" dxfId="319" priority="368" stopIfTrue="1" operator="equal">
      <formula>1</formula>
    </cfRule>
  </conditionalFormatting>
  <conditionalFormatting sqref="C20">
    <cfRule type="cellIs" dxfId="318" priority="361" stopIfTrue="1" operator="greaterThan">
      <formula>10</formula>
    </cfRule>
    <cfRule type="cellIs" dxfId="317" priority="362" stopIfTrue="1" operator="greaterThan">
      <formula>8</formula>
    </cfRule>
    <cfRule type="cellIs" dxfId="316" priority="363" stopIfTrue="1" operator="greaterThan">
      <formula>1</formula>
    </cfRule>
    <cfRule type="cellIs" dxfId="315" priority="364" stopIfTrue="1" operator="equal">
      <formula>1</formula>
    </cfRule>
  </conditionalFormatting>
  <conditionalFormatting sqref="C23">
    <cfRule type="cellIs" dxfId="314" priority="357" stopIfTrue="1" operator="greaterThan">
      <formula>10</formula>
    </cfRule>
    <cfRule type="cellIs" dxfId="313" priority="358" stopIfTrue="1" operator="greaterThan">
      <formula>8</formula>
    </cfRule>
    <cfRule type="cellIs" dxfId="312" priority="359" stopIfTrue="1" operator="greaterThan">
      <formula>1</formula>
    </cfRule>
    <cfRule type="cellIs" dxfId="311" priority="360" stopIfTrue="1" operator="equal">
      <formula>1</formula>
    </cfRule>
  </conditionalFormatting>
  <conditionalFormatting sqref="C26">
    <cfRule type="cellIs" dxfId="310" priority="353" stopIfTrue="1" operator="greaterThan">
      <formula>10</formula>
    </cfRule>
    <cfRule type="cellIs" dxfId="309" priority="354" stopIfTrue="1" operator="greaterThan">
      <formula>8</formula>
    </cfRule>
    <cfRule type="cellIs" dxfId="308" priority="355" stopIfTrue="1" operator="greaterThan">
      <formula>1</formula>
    </cfRule>
    <cfRule type="cellIs" dxfId="307" priority="356" stopIfTrue="1" operator="equal">
      <formula>1</formula>
    </cfRule>
  </conditionalFormatting>
  <conditionalFormatting sqref="C29">
    <cfRule type="cellIs" dxfId="306" priority="349" stopIfTrue="1" operator="greaterThan">
      <formula>10</formula>
    </cfRule>
    <cfRule type="cellIs" dxfId="305" priority="350" stopIfTrue="1" operator="greaterThan">
      <formula>8</formula>
    </cfRule>
    <cfRule type="cellIs" dxfId="304" priority="351" stopIfTrue="1" operator="greaterThan">
      <formula>1</formula>
    </cfRule>
    <cfRule type="cellIs" dxfId="303" priority="352" stopIfTrue="1" operator="equal">
      <formula>1</formula>
    </cfRule>
  </conditionalFormatting>
  <conditionalFormatting sqref="C32">
    <cfRule type="cellIs" dxfId="302" priority="345" stopIfTrue="1" operator="greaterThan">
      <formula>10</formula>
    </cfRule>
    <cfRule type="cellIs" dxfId="301" priority="346" stopIfTrue="1" operator="greaterThan">
      <formula>8</formula>
    </cfRule>
    <cfRule type="cellIs" dxfId="300" priority="347" stopIfTrue="1" operator="greaterThan">
      <formula>1</formula>
    </cfRule>
    <cfRule type="cellIs" dxfId="299" priority="348" stopIfTrue="1" operator="equal">
      <formula>1</formula>
    </cfRule>
  </conditionalFormatting>
  <conditionalFormatting sqref="C35">
    <cfRule type="cellIs" dxfId="298" priority="341" stopIfTrue="1" operator="greaterThan">
      <formula>10</formula>
    </cfRule>
    <cfRule type="cellIs" dxfId="297" priority="342" stopIfTrue="1" operator="greaterThan">
      <formula>8</formula>
    </cfRule>
    <cfRule type="cellIs" dxfId="296" priority="343" stopIfTrue="1" operator="greaterThan">
      <formula>1</formula>
    </cfRule>
    <cfRule type="cellIs" dxfId="295" priority="344" stopIfTrue="1" operator="equal">
      <formula>1</formula>
    </cfRule>
  </conditionalFormatting>
  <conditionalFormatting sqref="C38">
    <cfRule type="cellIs" dxfId="294" priority="337" stopIfTrue="1" operator="greaterThan">
      <formula>10</formula>
    </cfRule>
    <cfRule type="cellIs" dxfId="293" priority="338" stopIfTrue="1" operator="greaterThan">
      <formula>8</formula>
    </cfRule>
    <cfRule type="cellIs" dxfId="292" priority="339" stopIfTrue="1" operator="greaterThan">
      <formula>1</formula>
    </cfRule>
    <cfRule type="cellIs" dxfId="291" priority="340" stopIfTrue="1" operator="equal">
      <formula>1</formula>
    </cfRule>
  </conditionalFormatting>
  <conditionalFormatting sqref="C41">
    <cfRule type="cellIs" dxfId="290" priority="333" stopIfTrue="1" operator="greaterThan">
      <formula>10</formula>
    </cfRule>
    <cfRule type="cellIs" dxfId="289" priority="334" stopIfTrue="1" operator="greaterThan">
      <formula>8</formula>
    </cfRule>
    <cfRule type="cellIs" dxfId="288" priority="335" stopIfTrue="1" operator="greaterThan">
      <formula>1</formula>
    </cfRule>
    <cfRule type="cellIs" dxfId="287" priority="336" stopIfTrue="1" operator="equal">
      <formula>1</formula>
    </cfRule>
  </conditionalFormatting>
  <conditionalFormatting sqref="C44">
    <cfRule type="cellIs" dxfId="286" priority="329" stopIfTrue="1" operator="greaterThan">
      <formula>10</formula>
    </cfRule>
    <cfRule type="cellIs" dxfId="285" priority="330" stopIfTrue="1" operator="greaterThan">
      <formula>8</formula>
    </cfRule>
    <cfRule type="cellIs" dxfId="284" priority="331" stopIfTrue="1" operator="greaterThan">
      <formula>1</formula>
    </cfRule>
    <cfRule type="cellIs" dxfId="283" priority="332" stopIfTrue="1" operator="equal">
      <formula>1</formula>
    </cfRule>
  </conditionalFormatting>
  <conditionalFormatting sqref="C47">
    <cfRule type="cellIs" dxfId="282" priority="325" stopIfTrue="1" operator="greaterThan">
      <formula>10</formula>
    </cfRule>
    <cfRule type="cellIs" dxfId="281" priority="326" stopIfTrue="1" operator="greaterThan">
      <formula>8</formula>
    </cfRule>
    <cfRule type="cellIs" dxfId="280" priority="327" stopIfTrue="1" operator="greaterThan">
      <formula>1</formula>
    </cfRule>
    <cfRule type="cellIs" dxfId="279" priority="328" stopIfTrue="1" operator="equal">
      <formula>1</formula>
    </cfRule>
  </conditionalFormatting>
  <conditionalFormatting sqref="C50">
    <cfRule type="cellIs" dxfId="278" priority="321" stopIfTrue="1" operator="greaterThan">
      <formula>10</formula>
    </cfRule>
    <cfRule type="cellIs" dxfId="277" priority="322" stopIfTrue="1" operator="greaterThan">
      <formula>8</formula>
    </cfRule>
    <cfRule type="cellIs" dxfId="276" priority="323" stopIfTrue="1" operator="greaterThan">
      <formula>1</formula>
    </cfRule>
    <cfRule type="cellIs" dxfId="275" priority="324" stopIfTrue="1" operator="equal">
      <formula>1</formula>
    </cfRule>
  </conditionalFormatting>
  <conditionalFormatting sqref="C53">
    <cfRule type="cellIs" dxfId="274" priority="317" stopIfTrue="1" operator="greaterThan">
      <formula>10</formula>
    </cfRule>
    <cfRule type="cellIs" dxfId="273" priority="318" stopIfTrue="1" operator="greaterThan">
      <formula>8</formula>
    </cfRule>
    <cfRule type="cellIs" dxfId="272" priority="319" stopIfTrue="1" operator="greaterThan">
      <formula>1</formula>
    </cfRule>
    <cfRule type="cellIs" dxfId="271" priority="320" stopIfTrue="1" operator="equal">
      <formula>1</formula>
    </cfRule>
  </conditionalFormatting>
  <conditionalFormatting sqref="C56">
    <cfRule type="cellIs" dxfId="270" priority="313" stopIfTrue="1" operator="greaterThan">
      <formula>10</formula>
    </cfRule>
    <cfRule type="cellIs" dxfId="269" priority="314" stopIfTrue="1" operator="greaterThan">
      <formula>8</formula>
    </cfRule>
    <cfRule type="cellIs" dxfId="268" priority="315" stopIfTrue="1" operator="greaterThan">
      <formula>1</formula>
    </cfRule>
    <cfRule type="cellIs" dxfId="267" priority="316" stopIfTrue="1" operator="equal">
      <formula>1</formula>
    </cfRule>
  </conditionalFormatting>
  <conditionalFormatting sqref="C59">
    <cfRule type="cellIs" dxfId="266" priority="309" stopIfTrue="1" operator="greaterThan">
      <formula>10</formula>
    </cfRule>
    <cfRule type="cellIs" dxfId="265" priority="310" stopIfTrue="1" operator="greaterThan">
      <formula>8</formula>
    </cfRule>
    <cfRule type="cellIs" dxfId="264" priority="311" stopIfTrue="1" operator="greaterThan">
      <formula>1</formula>
    </cfRule>
    <cfRule type="cellIs" dxfId="263" priority="312" stopIfTrue="1" operator="equal">
      <formula>1</formula>
    </cfRule>
  </conditionalFormatting>
  <conditionalFormatting sqref="C62">
    <cfRule type="cellIs" dxfId="262" priority="305" stopIfTrue="1" operator="greaterThan">
      <formula>10</formula>
    </cfRule>
    <cfRule type="cellIs" dxfId="261" priority="306" stopIfTrue="1" operator="greaterThan">
      <formula>8</formula>
    </cfRule>
    <cfRule type="cellIs" dxfId="260" priority="307" stopIfTrue="1" operator="greaterThan">
      <formula>1</formula>
    </cfRule>
    <cfRule type="cellIs" dxfId="259" priority="308" stopIfTrue="1" operator="equal">
      <formula>1</formula>
    </cfRule>
  </conditionalFormatting>
  <conditionalFormatting sqref="C65">
    <cfRule type="cellIs" dxfId="258" priority="301" stopIfTrue="1" operator="greaterThan">
      <formula>10</formula>
    </cfRule>
    <cfRule type="cellIs" dxfId="257" priority="302" stopIfTrue="1" operator="greaterThan">
      <formula>8</formula>
    </cfRule>
    <cfRule type="cellIs" dxfId="256" priority="303" stopIfTrue="1" operator="greaterThan">
      <formula>1</formula>
    </cfRule>
    <cfRule type="cellIs" dxfId="255" priority="304" stopIfTrue="1" operator="equal">
      <formula>1</formula>
    </cfRule>
  </conditionalFormatting>
  <conditionalFormatting sqref="C68">
    <cfRule type="cellIs" dxfId="254" priority="297" stopIfTrue="1" operator="greaterThan">
      <formula>10</formula>
    </cfRule>
    <cfRule type="cellIs" dxfId="253" priority="298" stopIfTrue="1" operator="greaterThan">
      <formula>8</formula>
    </cfRule>
    <cfRule type="cellIs" dxfId="252" priority="299" stopIfTrue="1" operator="greaterThan">
      <formula>1</formula>
    </cfRule>
    <cfRule type="cellIs" dxfId="251" priority="300" stopIfTrue="1" operator="equal">
      <formula>1</formula>
    </cfRule>
  </conditionalFormatting>
  <conditionalFormatting sqref="C71">
    <cfRule type="cellIs" dxfId="250" priority="293" stopIfTrue="1" operator="greaterThan">
      <formula>10</formula>
    </cfRule>
    <cfRule type="cellIs" dxfId="249" priority="294" stopIfTrue="1" operator="greaterThan">
      <formula>8</formula>
    </cfRule>
    <cfRule type="cellIs" dxfId="248" priority="295" stopIfTrue="1" operator="greaterThan">
      <formula>1</formula>
    </cfRule>
    <cfRule type="cellIs" dxfId="247" priority="296" stopIfTrue="1" operator="equal">
      <formula>1</formula>
    </cfRule>
  </conditionalFormatting>
  <conditionalFormatting sqref="C74">
    <cfRule type="cellIs" dxfId="246" priority="289" stopIfTrue="1" operator="greaterThan">
      <formula>10</formula>
    </cfRule>
    <cfRule type="cellIs" dxfId="245" priority="290" stopIfTrue="1" operator="greaterThan">
      <formula>8</formula>
    </cfRule>
    <cfRule type="cellIs" dxfId="244" priority="291" stopIfTrue="1" operator="greaterThan">
      <formula>1</formula>
    </cfRule>
    <cfRule type="cellIs" dxfId="243" priority="292" stopIfTrue="1" operator="equal">
      <formula>1</formula>
    </cfRule>
  </conditionalFormatting>
  <conditionalFormatting sqref="C77">
    <cfRule type="cellIs" dxfId="242" priority="285" stopIfTrue="1" operator="greaterThan">
      <formula>10</formula>
    </cfRule>
    <cfRule type="cellIs" dxfId="241" priority="286" stopIfTrue="1" operator="greaterThan">
      <formula>8</formula>
    </cfRule>
    <cfRule type="cellIs" dxfId="240" priority="287" stopIfTrue="1" operator="greaterThan">
      <formula>1</formula>
    </cfRule>
    <cfRule type="cellIs" dxfId="239" priority="288" stopIfTrue="1" operator="equal">
      <formula>1</formula>
    </cfRule>
  </conditionalFormatting>
  <conditionalFormatting sqref="C80">
    <cfRule type="cellIs" dxfId="238" priority="281" stopIfTrue="1" operator="greaterThan">
      <formula>10</formula>
    </cfRule>
    <cfRule type="cellIs" dxfId="237" priority="282" stopIfTrue="1" operator="greaterThan">
      <formula>8</formula>
    </cfRule>
    <cfRule type="cellIs" dxfId="236" priority="283" stopIfTrue="1" operator="greaterThan">
      <formula>1</formula>
    </cfRule>
    <cfRule type="cellIs" dxfId="235" priority="284" stopIfTrue="1" operator="equal">
      <formula>1</formula>
    </cfRule>
  </conditionalFormatting>
  <conditionalFormatting sqref="C83">
    <cfRule type="cellIs" dxfId="234" priority="277" stopIfTrue="1" operator="greaterThan">
      <formula>10</formula>
    </cfRule>
    <cfRule type="cellIs" dxfId="233" priority="278" stopIfTrue="1" operator="greaterThan">
      <formula>8</formula>
    </cfRule>
    <cfRule type="cellIs" dxfId="232" priority="279" stopIfTrue="1" operator="greaterThan">
      <formula>1</formula>
    </cfRule>
    <cfRule type="cellIs" dxfId="231" priority="280" stopIfTrue="1" operator="equal">
      <formula>1</formula>
    </cfRule>
  </conditionalFormatting>
  <conditionalFormatting sqref="C86">
    <cfRule type="cellIs" dxfId="230" priority="273" stopIfTrue="1" operator="greaterThan">
      <formula>10</formula>
    </cfRule>
    <cfRule type="cellIs" dxfId="229" priority="274" stopIfTrue="1" operator="greaterThan">
      <formula>8</formula>
    </cfRule>
    <cfRule type="cellIs" dxfId="228" priority="275" stopIfTrue="1" operator="greaterThan">
      <formula>1</formula>
    </cfRule>
    <cfRule type="cellIs" dxfId="227" priority="276" stopIfTrue="1" operator="equal">
      <formula>1</formula>
    </cfRule>
  </conditionalFormatting>
  <conditionalFormatting sqref="C89">
    <cfRule type="cellIs" dxfId="226" priority="269" stopIfTrue="1" operator="greaterThan">
      <formula>10</formula>
    </cfRule>
    <cfRule type="cellIs" dxfId="225" priority="270" stopIfTrue="1" operator="greaterThan">
      <formula>8</formula>
    </cfRule>
    <cfRule type="cellIs" dxfId="224" priority="271" stopIfTrue="1" operator="greaterThan">
      <formula>1</formula>
    </cfRule>
    <cfRule type="cellIs" dxfId="223" priority="272" stopIfTrue="1" operator="equal">
      <formula>1</formula>
    </cfRule>
  </conditionalFormatting>
  <conditionalFormatting sqref="C92">
    <cfRule type="cellIs" dxfId="222" priority="265" stopIfTrue="1" operator="greaterThan">
      <formula>10</formula>
    </cfRule>
    <cfRule type="cellIs" dxfId="221" priority="266" stopIfTrue="1" operator="greaterThan">
      <formula>8</formula>
    </cfRule>
    <cfRule type="cellIs" dxfId="220" priority="267" stopIfTrue="1" operator="greaterThan">
      <formula>1</formula>
    </cfRule>
    <cfRule type="cellIs" dxfId="219" priority="268" stopIfTrue="1" operator="equal">
      <formula>1</formula>
    </cfRule>
  </conditionalFormatting>
  <conditionalFormatting sqref="C95">
    <cfRule type="cellIs" dxfId="218" priority="261" stopIfTrue="1" operator="greaterThan">
      <formula>10</formula>
    </cfRule>
    <cfRule type="cellIs" dxfId="217" priority="262" stopIfTrue="1" operator="greaterThan">
      <formula>8</formula>
    </cfRule>
    <cfRule type="cellIs" dxfId="216" priority="263" stopIfTrue="1" operator="greaterThan">
      <formula>1</formula>
    </cfRule>
    <cfRule type="cellIs" dxfId="215" priority="264" stopIfTrue="1" operator="equal">
      <formula>1</formula>
    </cfRule>
  </conditionalFormatting>
  <conditionalFormatting sqref="C98">
    <cfRule type="cellIs" dxfId="214" priority="257" stopIfTrue="1" operator="greaterThan">
      <formula>10</formula>
    </cfRule>
    <cfRule type="cellIs" dxfId="213" priority="258" stopIfTrue="1" operator="greaterThan">
      <formula>8</formula>
    </cfRule>
    <cfRule type="cellIs" dxfId="212" priority="259" stopIfTrue="1" operator="greaterThan">
      <formula>1</formula>
    </cfRule>
    <cfRule type="cellIs" dxfId="211" priority="260" stopIfTrue="1" operator="equal">
      <formula>1</formula>
    </cfRule>
  </conditionalFormatting>
  <conditionalFormatting sqref="C101">
    <cfRule type="cellIs" dxfId="210" priority="253" stopIfTrue="1" operator="greaterThan">
      <formula>10</formula>
    </cfRule>
    <cfRule type="cellIs" dxfId="209" priority="254" stopIfTrue="1" operator="greaterThan">
      <formula>8</formula>
    </cfRule>
    <cfRule type="cellIs" dxfId="208" priority="255" stopIfTrue="1" operator="greaterThan">
      <formula>1</formula>
    </cfRule>
    <cfRule type="cellIs" dxfId="207" priority="256" stopIfTrue="1" operator="equal">
      <formula>1</formula>
    </cfRule>
  </conditionalFormatting>
  <conditionalFormatting sqref="C104">
    <cfRule type="cellIs" dxfId="206" priority="249" stopIfTrue="1" operator="greaterThan">
      <formula>10</formula>
    </cfRule>
    <cfRule type="cellIs" dxfId="205" priority="250" stopIfTrue="1" operator="greaterThan">
      <formula>8</formula>
    </cfRule>
    <cfRule type="cellIs" dxfId="204" priority="251" stopIfTrue="1" operator="greaterThan">
      <formula>1</formula>
    </cfRule>
    <cfRule type="cellIs" dxfId="203" priority="252" stopIfTrue="1" operator="equal">
      <formula>1</formula>
    </cfRule>
  </conditionalFormatting>
  <conditionalFormatting sqref="C107">
    <cfRule type="cellIs" dxfId="202" priority="245" stopIfTrue="1" operator="greaterThan">
      <formula>10</formula>
    </cfRule>
    <cfRule type="cellIs" dxfId="201" priority="246" stopIfTrue="1" operator="greaterThan">
      <formula>8</formula>
    </cfRule>
    <cfRule type="cellIs" dxfId="200" priority="247" stopIfTrue="1" operator="greaterThan">
      <formula>1</formula>
    </cfRule>
    <cfRule type="cellIs" dxfId="199" priority="248" stopIfTrue="1" operator="equal">
      <formula>1</formula>
    </cfRule>
  </conditionalFormatting>
  <conditionalFormatting sqref="C110">
    <cfRule type="cellIs" dxfId="198" priority="241" stopIfTrue="1" operator="greaterThan">
      <formula>10</formula>
    </cfRule>
    <cfRule type="cellIs" dxfId="197" priority="242" stopIfTrue="1" operator="greaterThan">
      <formula>8</formula>
    </cfRule>
    <cfRule type="cellIs" dxfId="196" priority="243" stopIfTrue="1" operator="greaterThan">
      <formula>1</formula>
    </cfRule>
    <cfRule type="cellIs" dxfId="195" priority="244" stopIfTrue="1" operator="equal">
      <formula>1</formula>
    </cfRule>
  </conditionalFormatting>
  <conditionalFormatting sqref="C113">
    <cfRule type="cellIs" dxfId="194" priority="237" stopIfTrue="1" operator="greaterThan">
      <formula>10</formula>
    </cfRule>
    <cfRule type="cellIs" dxfId="193" priority="238" stopIfTrue="1" operator="greaterThan">
      <formula>8</formula>
    </cfRule>
    <cfRule type="cellIs" dxfId="192" priority="239" stopIfTrue="1" operator="greaterThan">
      <formula>1</formula>
    </cfRule>
    <cfRule type="cellIs" dxfId="191" priority="240" stopIfTrue="1" operator="equal">
      <formula>1</formula>
    </cfRule>
  </conditionalFormatting>
  <conditionalFormatting sqref="C116">
    <cfRule type="cellIs" dxfId="190" priority="233" stopIfTrue="1" operator="greaterThan">
      <formula>10</formula>
    </cfRule>
    <cfRule type="cellIs" dxfId="189" priority="234" stopIfTrue="1" operator="greaterThan">
      <formula>8</formula>
    </cfRule>
    <cfRule type="cellIs" dxfId="188" priority="235" stopIfTrue="1" operator="greaterThan">
      <formula>1</formula>
    </cfRule>
    <cfRule type="cellIs" dxfId="187" priority="236" stopIfTrue="1" operator="equal">
      <formula>1</formula>
    </cfRule>
  </conditionalFormatting>
  <conditionalFormatting sqref="C119">
    <cfRule type="cellIs" dxfId="186" priority="229" stopIfTrue="1" operator="greaterThan">
      <formula>10</formula>
    </cfRule>
    <cfRule type="cellIs" dxfId="185" priority="230" stopIfTrue="1" operator="greaterThan">
      <formula>8</formula>
    </cfRule>
    <cfRule type="cellIs" dxfId="184" priority="231" stopIfTrue="1" operator="greaterThan">
      <formula>1</formula>
    </cfRule>
    <cfRule type="cellIs" dxfId="183" priority="232" stopIfTrue="1" operator="equal">
      <formula>1</formula>
    </cfRule>
  </conditionalFormatting>
  <conditionalFormatting sqref="C122">
    <cfRule type="cellIs" dxfId="182" priority="225" stopIfTrue="1" operator="greaterThan">
      <formula>10</formula>
    </cfRule>
    <cfRule type="cellIs" dxfId="181" priority="226" stopIfTrue="1" operator="greaterThan">
      <formula>8</formula>
    </cfRule>
    <cfRule type="cellIs" dxfId="180" priority="227" stopIfTrue="1" operator="greaterThan">
      <formula>1</formula>
    </cfRule>
    <cfRule type="cellIs" dxfId="179" priority="228" stopIfTrue="1" operator="equal">
      <formula>1</formula>
    </cfRule>
  </conditionalFormatting>
  <conditionalFormatting sqref="C125">
    <cfRule type="cellIs" dxfId="178" priority="221" stopIfTrue="1" operator="greaterThan">
      <formula>10</formula>
    </cfRule>
    <cfRule type="cellIs" dxfId="177" priority="222" stopIfTrue="1" operator="greaterThan">
      <formula>8</formula>
    </cfRule>
    <cfRule type="cellIs" dxfId="176" priority="223" stopIfTrue="1" operator="greaterThan">
      <formula>1</formula>
    </cfRule>
    <cfRule type="cellIs" dxfId="175" priority="224" stopIfTrue="1" operator="equal">
      <formula>1</formula>
    </cfRule>
  </conditionalFormatting>
  <conditionalFormatting sqref="C128">
    <cfRule type="cellIs" dxfId="174" priority="217" stopIfTrue="1" operator="greaterThan">
      <formula>10</formula>
    </cfRule>
    <cfRule type="cellIs" dxfId="173" priority="218" stopIfTrue="1" operator="greaterThan">
      <formula>8</formula>
    </cfRule>
    <cfRule type="cellIs" dxfId="172" priority="219" stopIfTrue="1" operator="greaterThan">
      <formula>1</formula>
    </cfRule>
    <cfRule type="cellIs" dxfId="171" priority="220" stopIfTrue="1" operator="equal">
      <formula>1</formula>
    </cfRule>
  </conditionalFormatting>
  <conditionalFormatting sqref="C131">
    <cfRule type="cellIs" dxfId="170" priority="213" stopIfTrue="1" operator="greaterThan">
      <formula>10</formula>
    </cfRule>
    <cfRule type="cellIs" dxfId="169" priority="214" stopIfTrue="1" operator="greaterThan">
      <formula>8</formula>
    </cfRule>
    <cfRule type="cellIs" dxfId="168" priority="215" stopIfTrue="1" operator="greaterThan">
      <formula>1</formula>
    </cfRule>
    <cfRule type="cellIs" dxfId="167" priority="216" stopIfTrue="1" operator="equal">
      <formula>1</formula>
    </cfRule>
  </conditionalFormatting>
  <conditionalFormatting sqref="C134">
    <cfRule type="cellIs" dxfId="166" priority="209" stopIfTrue="1" operator="greaterThan">
      <formula>10</formula>
    </cfRule>
    <cfRule type="cellIs" dxfId="165" priority="210" stopIfTrue="1" operator="greaterThan">
      <formula>8</formula>
    </cfRule>
    <cfRule type="cellIs" dxfId="164" priority="211" stopIfTrue="1" operator="greaterThan">
      <formula>1</formula>
    </cfRule>
    <cfRule type="cellIs" dxfId="163" priority="212" stopIfTrue="1" operator="equal">
      <formula>1</formula>
    </cfRule>
  </conditionalFormatting>
  <conditionalFormatting sqref="C137">
    <cfRule type="cellIs" dxfId="162" priority="205" stopIfTrue="1" operator="greaterThan">
      <formula>10</formula>
    </cfRule>
    <cfRule type="cellIs" dxfId="161" priority="206" stopIfTrue="1" operator="greaterThan">
      <formula>8</formula>
    </cfRule>
    <cfRule type="cellIs" dxfId="160" priority="207" stopIfTrue="1" operator="greaterThan">
      <formula>1</formula>
    </cfRule>
    <cfRule type="cellIs" dxfId="159" priority="208" stopIfTrue="1" operator="equal">
      <formula>1</formula>
    </cfRule>
  </conditionalFormatting>
  <conditionalFormatting sqref="E140">
    <cfRule type="expression" dxfId="158" priority="24">
      <formula>AB140=0</formula>
    </cfRule>
  </conditionalFormatting>
  <conditionalFormatting sqref="E141:E142">
    <cfRule type="expression" dxfId="157" priority="23">
      <formula>AB141=0</formula>
    </cfRule>
  </conditionalFormatting>
  <conditionalFormatting sqref="C140">
    <cfRule type="cellIs" dxfId="156" priority="19" stopIfTrue="1" operator="greaterThan">
      <formula>10</formula>
    </cfRule>
    <cfRule type="cellIs" dxfId="155" priority="20" stopIfTrue="1" operator="greaterThan">
      <formula>8</formula>
    </cfRule>
    <cfRule type="cellIs" dxfId="154" priority="21" stopIfTrue="1" operator="greaterThan">
      <formula>1</formula>
    </cfRule>
    <cfRule type="cellIs" dxfId="153" priority="22" stopIfTrue="1" operator="equal">
      <formula>1</formula>
    </cfRule>
  </conditionalFormatting>
  <conditionalFormatting sqref="E143">
    <cfRule type="expression" dxfId="152" priority="18">
      <formula>AB143=0</formula>
    </cfRule>
  </conditionalFormatting>
  <conditionalFormatting sqref="E144:E145">
    <cfRule type="expression" dxfId="151" priority="17">
      <formula>AB144=0</formula>
    </cfRule>
  </conditionalFormatting>
  <conditionalFormatting sqref="C143">
    <cfRule type="cellIs" dxfId="150" priority="13" stopIfTrue="1" operator="greaterThan">
      <formula>10</formula>
    </cfRule>
    <cfRule type="cellIs" dxfId="149" priority="14" stopIfTrue="1" operator="greaterThan">
      <formula>8</formula>
    </cfRule>
    <cfRule type="cellIs" dxfId="148" priority="15" stopIfTrue="1" operator="greaterThan">
      <formula>1</formula>
    </cfRule>
    <cfRule type="cellIs" dxfId="147" priority="16" stopIfTrue="1" operator="equal">
      <formula>1</formula>
    </cfRule>
  </conditionalFormatting>
  <conditionalFormatting sqref="E146">
    <cfRule type="expression" dxfId="146" priority="12">
      <formula>AB146=0</formula>
    </cfRule>
  </conditionalFormatting>
  <conditionalFormatting sqref="E147:E148">
    <cfRule type="expression" dxfId="145" priority="11">
      <formula>AB147=0</formula>
    </cfRule>
  </conditionalFormatting>
  <conditionalFormatting sqref="C146">
    <cfRule type="cellIs" dxfId="144" priority="7" stopIfTrue="1" operator="greaterThan">
      <formula>10</formula>
    </cfRule>
    <cfRule type="cellIs" dxfId="143" priority="8" stopIfTrue="1" operator="greaterThan">
      <formula>8</formula>
    </cfRule>
    <cfRule type="cellIs" dxfId="142" priority="9" stopIfTrue="1" operator="greaterThan">
      <formula>1</formula>
    </cfRule>
    <cfRule type="cellIs" dxfId="141" priority="10" stopIfTrue="1" operator="equal">
      <formula>1</formula>
    </cfRule>
  </conditionalFormatting>
  <conditionalFormatting sqref="E149">
    <cfRule type="expression" dxfId="140" priority="6">
      <formula>AB149=0</formula>
    </cfRule>
  </conditionalFormatting>
  <conditionalFormatting sqref="E150:E151">
    <cfRule type="expression" dxfId="139" priority="5">
      <formula>AB150=0</formula>
    </cfRule>
  </conditionalFormatting>
  <conditionalFormatting sqref="C149">
    <cfRule type="cellIs" dxfId="138" priority="1" stopIfTrue="1" operator="greaterThan">
      <formula>10</formula>
    </cfRule>
    <cfRule type="cellIs" dxfId="137" priority="2" stopIfTrue="1" operator="greaterThan">
      <formula>8</formula>
    </cfRule>
    <cfRule type="cellIs" dxfId="136" priority="3" stopIfTrue="1" operator="greaterThan">
      <formula>1</formula>
    </cfRule>
    <cfRule type="cellIs" dxfId="135" priority="4" stopIfTrue="1" operator="equal">
      <formula>1</formula>
    </cfRule>
  </conditionalFormatting>
  <dataValidations count="1">
    <dataValidation type="list" allowBlank="1" showInputMessage="1" showErrorMessage="1" sqref="R2:R151 M2:M151" xr:uid="{00000000-0002-0000-0A00-000000000000}">
      <formula1>choices</formula1>
    </dataValidation>
  </dataValidations>
  <hyperlinks>
    <hyperlink ref="A1" location="Menu!A1" display="Player" xr:uid="{00000000-0004-0000-0A00-000000000000}"/>
  </hyperlinks>
  <printOptions horizontalCentered="1" verticalCentered="1" gridLines="1"/>
  <pageMargins left="0" right="0" top="0" bottom="0" header="0" footer="0"/>
  <pageSetup paperSize="9" scale="63" fitToHeight="5" orientation="portrait" horizontalDpi="360" verticalDpi="360" r:id="rId1"/>
  <headerFooter alignWithMargins="0"/>
  <rowBreaks count="3" manualBreakCount="3">
    <brk id="1" max="16383" man="1"/>
    <brk id="49" max="16383" man="1"/>
    <brk id="97"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8">
    <tabColor rgb="FFFFFF00"/>
  </sheetPr>
  <dimension ref="A1:B9"/>
  <sheetViews>
    <sheetView workbookViewId="0">
      <selection activeCell="A6" sqref="A6"/>
    </sheetView>
  </sheetViews>
  <sheetFormatPr defaultRowHeight="12.75"/>
  <cols>
    <col min="1" max="1" width="15.1328125" bestFit="1" customWidth="1"/>
    <col min="2" max="2" width="4.73046875" bestFit="1" customWidth="1"/>
    <col min="3" max="6" width="15.73046875" bestFit="1" customWidth="1"/>
    <col min="7" max="7" width="10.59765625" bestFit="1" customWidth="1"/>
  </cols>
  <sheetData>
    <row r="1" spans="1:2">
      <c r="A1" s="337" t="s">
        <v>331</v>
      </c>
    </row>
    <row r="3" spans="1:2">
      <c r="A3" s="682" t="s">
        <v>140</v>
      </c>
      <c r="B3" s="683"/>
    </row>
    <row r="4" spans="1:2">
      <c r="A4" s="682" t="s">
        <v>127</v>
      </c>
      <c r="B4" s="683" t="s">
        <v>138</v>
      </c>
    </row>
    <row r="5" spans="1:2">
      <c r="A5" s="410">
        <v>0</v>
      </c>
      <c r="B5" s="759">
        <v>11</v>
      </c>
    </row>
    <row r="6" spans="1:2">
      <c r="A6" s="643">
        <v>1</v>
      </c>
      <c r="B6" s="760">
        <v>21</v>
      </c>
    </row>
    <row r="7" spans="1:2">
      <c r="A7" s="643">
        <v>2</v>
      </c>
      <c r="B7" s="760">
        <v>15</v>
      </c>
    </row>
    <row r="8" spans="1:2">
      <c r="A8" s="643">
        <v>3</v>
      </c>
      <c r="B8" s="760">
        <v>3</v>
      </c>
    </row>
    <row r="9" spans="1:2">
      <c r="A9" s="684" t="s">
        <v>139</v>
      </c>
      <c r="B9" s="761">
        <v>50</v>
      </c>
    </row>
  </sheetData>
  <hyperlinks>
    <hyperlink ref="A1" location="Menu!A1" display="Menu!A1" xr:uid="{00000000-0004-0000-0D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tabColor rgb="FFFFFF00"/>
  </sheetPr>
  <dimension ref="A1:K132"/>
  <sheetViews>
    <sheetView workbookViewId="0">
      <selection activeCell="I4" sqref="I4"/>
    </sheetView>
  </sheetViews>
  <sheetFormatPr defaultRowHeight="12.75"/>
  <cols>
    <col min="1" max="1" width="14.73046875" bestFit="1" customWidth="1"/>
    <col min="2" max="4" width="8.73046875" bestFit="1" customWidth="1"/>
    <col min="5" max="6" width="10.265625" bestFit="1" customWidth="1"/>
    <col min="9" max="9" width="29" customWidth="1"/>
    <col min="10" max="11" width="11.73046875" customWidth="1"/>
  </cols>
  <sheetData>
    <row r="1" spans="1:11" ht="96" customHeight="1"/>
    <row r="2" spans="1:11" ht="26.65" customHeight="1"/>
    <row r="3" spans="1:11">
      <c r="A3" s="682" t="s">
        <v>403</v>
      </c>
      <c r="B3" s="682" t="s">
        <v>17</v>
      </c>
      <c r="C3" s="685"/>
      <c r="D3" s="685"/>
      <c r="E3" s="686"/>
    </row>
    <row r="4" spans="1:11">
      <c r="A4" s="682" t="s">
        <v>427</v>
      </c>
      <c r="B4" s="410">
        <v>0</v>
      </c>
      <c r="C4" s="460">
        <v>1</v>
      </c>
      <c r="D4" s="460" t="s">
        <v>572</v>
      </c>
      <c r="E4" s="683" t="s">
        <v>139</v>
      </c>
      <c r="I4" s="89" t="s">
        <v>455</v>
      </c>
      <c r="J4" s="89" t="s">
        <v>454</v>
      </c>
      <c r="K4" s="89" t="s">
        <v>52</v>
      </c>
    </row>
    <row r="5" spans="1:11">
      <c r="A5" s="410" t="s">
        <v>404</v>
      </c>
      <c r="B5" s="762"/>
      <c r="C5" s="763"/>
      <c r="D5" s="763">
        <v>6</v>
      </c>
      <c r="E5" s="759">
        <v>6</v>
      </c>
      <c r="I5" s="643" t="s">
        <v>554</v>
      </c>
      <c r="J5" s="643">
        <v>10</v>
      </c>
    </row>
    <row r="6" spans="1:11">
      <c r="A6" s="643" t="s">
        <v>408</v>
      </c>
      <c r="B6" s="764">
        <v>1</v>
      </c>
      <c r="C6" s="765"/>
      <c r="D6" s="765"/>
      <c r="E6" s="760">
        <v>1</v>
      </c>
      <c r="I6" s="643" t="s">
        <v>571</v>
      </c>
      <c r="J6" s="643">
        <v>7</v>
      </c>
    </row>
    <row r="7" spans="1:11">
      <c r="A7" s="643" t="s">
        <v>530</v>
      </c>
      <c r="B7" s="764"/>
      <c r="C7" s="765">
        <v>1</v>
      </c>
      <c r="D7" s="765"/>
      <c r="E7" s="760">
        <v>1</v>
      </c>
      <c r="I7" s="643" t="s">
        <v>621</v>
      </c>
      <c r="J7" s="643">
        <v>5</v>
      </c>
    </row>
    <row r="8" spans="1:11">
      <c r="A8" s="643" t="s">
        <v>554</v>
      </c>
      <c r="B8" s="764">
        <v>10</v>
      </c>
      <c r="C8" s="765"/>
      <c r="D8" s="765"/>
      <c r="E8" s="760">
        <v>10</v>
      </c>
      <c r="I8" s="643" t="s">
        <v>646</v>
      </c>
      <c r="J8" s="643">
        <v>4</v>
      </c>
    </row>
    <row r="9" spans="1:11">
      <c r="A9" s="643" t="s">
        <v>559</v>
      </c>
      <c r="B9" s="764"/>
      <c r="C9" s="765">
        <v>1</v>
      </c>
      <c r="D9" s="765"/>
      <c r="E9" s="760">
        <v>1</v>
      </c>
      <c r="I9" s="643" t="s">
        <v>549</v>
      </c>
      <c r="J9" s="643">
        <v>3</v>
      </c>
    </row>
    <row r="10" spans="1:11">
      <c r="A10" s="643" t="s">
        <v>640</v>
      </c>
      <c r="B10" s="764">
        <v>2</v>
      </c>
      <c r="C10" s="765"/>
      <c r="D10" s="765"/>
      <c r="E10" s="760">
        <v>2</v>
      </c>
      <c r="I10" s="643" t="s">
        <v>565</v>
      </c>
      <c r="J10" s="643">
        <v>3</v>
      </c>
    </row>
    <row r="11" spans="1:11">
      <c r="A11" s="643" t="s">
        <v>645</v>
      </c>
      <c r="B11" s="764"/>
      <c r="C11" s="765">
        <v>5</v>
      </c>
      <c r="D11" s="765"/>
      <c r="E11" s="760">
        <v>5</v>
      </c>
      <c r="I11" s="643" t="s">
        <v>593</v>
      </c>
      <c r="J11" s="643">
        <v>3</v>
      </c>
    </row>
    <row r="12" spans="1:11">
      <c r="A12" s="643" t="s">
        <v>567</v>
      </c>
      <c r="B12" s="764">
        <v>2</v>
      </c>
      <c r="C12" s="765"/>
      <c r="D12" s="765"/>
      <c r="E12" s="760">
        <v>2</v>
      </c>
      <c r="I12" s="643" t="s">
        <v>612</v>
      </c>
      <c r="J12" s="643">
        <v>3</v>
      </c>
    </row>
    <row r="13" spans="1:11">
      <c r="A13" s="643" t="s">
        <v>552</v>
      </c>
      <c r="B13" s="764">
        <v>2</v>
      </c>
      <c r="C13" s="765"/>
      <c r="D13" s="765"/>
      <c r="E13" s="760">
        <v>2</v>
      </c>
      <c r="I13" s="643" t="s">
        <v>596</v>
      </c>
      <c r="J13" s="643">
        <v>3</v>
      </c>
    </row>
    <row r="14" spans="1:11">
      <c r="A14" s="643" t="s">
        <v>531</v>
      </c>
      <c r="B14" s="764">
        <v>1</v>
      </c>
      <c r="C14" s="765"/>
      <c r="D14" s="765"/>
      <c r="E14" s="760">
        <v>1</v>
      </c>
      <c r="I14" s="643" t="s">
        <v>640</v>
      </c>
      <c r="J14" s="643">
        <v>2</v>
      </c>
    </row>
    <row r="15" spans="1:11">
      <c r="A15" s="643" t="s">
        <v>561</v>
      </c>
      <c r="B15" s="764">
        <v>1</v>
      </c>
      <c r="C15" s="765"/>
      <c r="D15" s="765"/>
      <c r="E15" s="760">
        <v>1</v>
      </c>
      <c r="I15" s="643" t="s">
        <v>567</v>
      </c>
      <c r="J15" s="643">
        <v>2</v>
      </c>
    </row>
    <row r="16" spans="1:11">
      <c r="A16" s="643" t="s">
        <v>571</v>
      </c>
      <c r="B16" s="764">
        <v>7</v>
      </c>
      <c r="C16" s="765"/>
      <c r="D16" s="765"/>
      <c r="E16" s="760">
        <v>7</v>
      </c>
      <c r="I16" s="643" t="s">
        <v>552</v>
      </c>
      <c r="J16" s="643">
        <v>2</v>
      </c>
    </row>
    <row r="17" spans="1:10">
      <c r="A17" s="643" t="s">
        <v>532</v>
      </c>
      <c r="B17" s="764">
        <v>2</v>
      </c>
      <c r="C17" s="765"/>
      <c r="D17" s="765"/>
      <c r="E17" s="760">
        <v>2</v>
      </c>
      <c r="I17" s="643" t="s">
        <v>532</v>
      </c>
      <c r="J17" s="643">
        <v>2</v>
      </c>
    </row>
    <row r="18" spans="1:10">
      <c r="A18" s="643" t="s">
        <v>549</v>
      </c>
      <c r="B18" s="764">
        <v>3</v>
      </c>
      <c r="C18" s="765"/>
      <c r="D18" s="765"/>
      <c r="E18" s="760">
        <v>3</v>
      </c>
      <c r="I18" s="643" t="s">
        <v>568</v>
      </c>
      <c r="J18" s="643">
        <v>2</v>
      </c>
    </row>
    <row r="19" spans="1:10">
      <c r="A19" s="643" t="s">
        <v>568</v>
      </c>
      <c r="B19" s="764">
        <v>2</v>
      </c>
      <c r="C19" s="765"/>
      <c r="D19" s="765"/>
      <c r="E19" s="760">
        <v>2</v>
      </c>
      <c r="I19" s="643" t="s">
        <v>566</v>
      </c>
      <c r="J19" s="643">
        <v>2</v>
      </c>
    </row>
    <row r="20" spans="1:10">
      <c r="A20" s="643" t="s">
        <v>641</v>
      </c>
      <c r="B20" s="764"/>
      <c r="C20" s="765">
        <v>2</v>
      </c>
      <c r="D20" s="765"/>
      <c r="E20" s="760">
        <v>2</v>
      </c>
      <c r="I20" s="643" t="s">
        <v>647</v>
      </c>
      <c r="J20" s="643">
        <v>2</v>
      </c>
    </row>
    <row r="21" spans="1:10">
      <c r="A21" s="643" t="s">
        <v>566</v>
      </c>
      <c r="B21" s="764">
        <v>2</v>
      </c>
      <c r="C21" s="765"/>
      <c r="D21" s="765"/>
      <c r="E21" s="760">
        <v>2</v>
      </c>
      <c r="I21" s="643" t="s">
        <v>582</v>
      </c>
      <c r="J21" s="643">
        <v>2</v>
      </c>
    </row>
    <row r="22" spans="1:10">
      <c r="A22" s="643" t="s">
        <v>529</v>
      </c>
      <c r="B22" s="764">
        <v>1</v>
      </c>
      <c r="C22" s="765"/>
      <c r="D22" s="765"/>
      <c r="E22" s="760">
        <v>1</v>
      </c>
      <c r="I22" s="643" t="s">
        <v>613</v>
      </c>
      <c r="J22" s="643">
        <v>2</v>
      </c>
    </row>
    <row r="23" spans="1:10">
      <c r="A23" s="643" t="s">
        <v>565</v>
      </c>
      <c r="B23" s="764">
        <v>3</v>
      </c>
      <c r="C23" s="765"/>
      <c r="D23" s="765"/>
      <c r="E23" s="760">
        <v>3</v>
      </c>
      <c r="I23" s="643" t="s">
        <v>408</v>
      </c>
      <c r="J23" s="643">
        <v>1</v>
      </c>
    </row>
    <row r="24" spans="1:10">
      <c r="A24" s="643" t="s">
        <v>621</v>
      </c>
      <c r="B24" s="764">
        <v>5</v>
      </c>
      <c r="C24" s="765"/>
      <c r="D24" s="765"/>
      <c r="E24" s="760">
        <v>5</v>
      </c>
      <c r="I24" s="643" t="s">
        <v>531</v>
      </c>
      <c r="J24" s="643">
        <v>1</v>
      </c>
    </row>
    <row r="25" spans="1:10">
      <c r="A25" s="643" t="s">
        <v>649</v>
      </c>
      <c r="B25" s="764"/>
      <c r="C25" s="765">
        <v>2</v>
      </c>
      <c r="D25" s="765"/>
      <c r="E25" s="760">
        <v>2</v>
      </c>
      <c r="I25" s="643" t="s">
        <v>561</v>
      </c>
      <c r="J25" s="643">
        <v>1</v>
      </c>
    </row>
    <row r="26" spans="1:10">
      <c r="A26" s="643" t="s">
        <v>639</v>
      </c>
      <c r="B26" s="764"/>
      <c r="C26" s="765">
        <v>1</v>
      </c>
      <c r="D26" s="765"/>
      <c r="E26" s="760">
        <v>1</v>
      </c>
      <c r="I26" s="643" t="s">
        <v>529</v>
      </c>
      <c r="J26" s="643">
        <v>1</v>
      </c>
    </row>
    <row r="27" spans="1:10">
      <c r="A27" s="643" t="s">
        <v>593</v>
      </c>
      <c r="B27" s="764">
        <v>3</v>
      </c>
      <c r="C27" s="765"/>
      <c r="D27" s="765"/>
      <c r="E27" s="760">
        <v>3</v>
      </c>
      <c r="I27" s="643" t="s">
        <v>627</v>
      </c>
      <c r="J27" s="643">
        <v>1</v>
      </c>
    </row>
    <row r="28" spans="1:10">
      <c r="A28" s="643" t="s">
        <v>570</v>
      </c>
      <c r="B28" s="764"/>
      <c r="C28" s="765">
        <v>4</v>
      </c>
      <c r="D28" s="765"/>
      <c r="E28" s="760">
        <v>4</v>
      </c>
      <c r="I28" s="643" t="s">
        <v>626</v>
      </c>
      <c r="J28" s="643">
        <v>1</v>
      </c>
    </row>
    <row r="29" spans="1:10">
      <c r="A29" s="643" t="s">
        <v>527</v>
      </c>
      <c r="B29" s="764"/>
      <c r="C29" s="765">
        <v>3</v>
      </c>
      <c r="D29" s="765"/>
      <c r="E29" s="760">
        <v>3</v>
      </c>
      <c r="I29" s="643" t="s">
        <v>635</v>
      </c>
      <c r="J29" s="643">
        <v>1</v>
      </c>
    </row>
    <row r="30" spans="1:10">
      <c r="A30" s="643" t="s">
        <v>647</v>
      </c>
      <c r="B30" s="764">
        <v>2</v>
      </c>
      <c r="C30" s="765"/>
      <c r="D30" s="765"/>
      <c r="E30" s="760">
        <v>2</v>
      </c>
      <c r="I30" s="643" t="s">
        <v>642</v>
      </c>
      <c r="J30" s="643">
        <v>1</v>
      </c>
    </row>
    <row r="31" spans="1:10">
      <c r="A31" s="643" t="s">
        <v>627</v>
      </c>
      <c r="B31" s="764">
        <v>1</v>
      </c>
      <c r="C31" s="765"/>
      <c r="D31" s="765"/>
      <c r="E31" s="760">
        <v>1</v>
      </c>
      <c r="I31" s="643" t="s">
        <v>644</v>
      </c>
      <c r="J31" s="643">
        <v>1</v>
      </c>
    </row>
    <row r="32" spans="1:10">
      <c r="A32" s="643" t="s">
        <v>638</v>
      </c>
      <c r="B32" s="764"/>
      <c r="C32" s="765">
        <v>1</v>
      </c>
      <c r="D32" s="765"/>
      <c r="E32" s="760">
        <v>1</v>
      </c>
      <c r="I32" s="643" t="s">
        <v>616</v>
      </c>
      <c r="J32" s="643">
        <v>1</v>
      </c>
    </row>
    <row r="33" spans="1:11">
      <c r="A33" s="643" t="s">
        <v>588</v>
      </c>
      <c r="B33" s="764"/>
      <c r="C33" s="765">
        <v>2</v>
      </c>
      <c r="D33" s="765"/>
      <c r="E33" s="760">
        <v>2</v>
      </c>
      <c r="I33" s="643" t="s">
        <v>602</v>
      </c>
      <c r="J33" s="643">
        <v>1</v>
      </c>
    </row>
    <row r="34" spans="1:11">
      <c r="A34" s="643" t="s">
        <v>626</v>
      </c>
      <c r="B34" s="764">
        <v>1</v>
      </c>
      <c r="C34" s="765"/>
      <c r="D34" s="765"/>
      <c r="E34" s="760">
        <v>1</v>
      </c>
      <c r="I34" s="643" t="s">
        <v>637</v>
      </c>
      <c r="J34" s="643">
        <v>1</v>
      </c>
    </row>
    <row r="35" spans="1:11">
      <c r="A35" s="643" t="s">
        <v>582</v>
      </c>
      <c r="B35" s="764">
        <v>2</v>
      </c>
      <c r="C35" s="765"/>
      <c r="D35" s="765"/>
      <c r="E35" s="760">
        <v>2</v>
      </c>
      <c r="I35" s="643" t="s">
        <v>600</v>
      </c>
      <c r="J35" s="643">
        <v>1</v>
      </c>
    </row>
    <row r="36" spans="1:11">
      <c r="A36" s="643" t="s">
        <v>635</v>
      </c>
      <c r="B36" s="764">
        <v>1</v>
      </c>
      <c r="C36" s="765"/>
      <c r="D36" s="765"/>
      <c r="E36" s="760">
        <v>1</v>
      </c>
      <c r="I36" s="643" t="s">
        <v>631</v>
      </c>
      <c r="J36" s="643">
        <v>1</v>
      </c>
    </row>
    <row r="37" spans="1:11">
      <c r="A37" s="643" t="s">
        <v>625</v>
      </c>
      <c r="B37" s="764"/>
      <c r="C37" s="765">
        <v>1</v>
      </c>
      <c r="D37" s="765"/>
      <c r="E37" s="760">
        <v>1</v>
      </c>
      <c r="I37" s="643" t="s">
        <v>578</v>
      </c>
      <c r="J37" s="643">
        <v>1</v>
      </c>
    </row>
    <row r="38" spans="1:11">
      <c r="A38" s="643" t="s">
        <v>642</v>
      </c>
      <c r="B38" s="764">
        <v>1</v>
      </c>
      <c r="C38" s="765"/>
      <c r="D38" s="765"/>
      <c r="E38" s="760">
        <v>1</v>
      </c>
      <c r="I38" s="643" t="s">
        <v>648</v>
      </c>
      <c r="J38" s="643">
        <v>1</v>
      </c>
    </row>
    <row r="39" spans="1:11">
      <c r="A39" s="643" t="s">
        <v>643</v>
      </c>
      <c r="B39" s="764"/>
      <c r="C39" s="765">
        <v>1</v>
      </c>
      <c r="D39" s="765"/>
      <c r="E39" s="760">
        <v>1</v>
      </c>
      <c r="I39" s="643" t="s">
        <v>604</v>
      </c>
      <c r="J39" s="643">
        <v>1</v>
      </c>
      <c r="K39" s="768"/>
    </row>
    <row r="40" spans="1:11">
      <c r="A40" s="643" t="s">
        <v>644</v>
      </c>
      <c r="B40" s="764">
        <v>1</v>
      </c>
      <c r="C40" s="765"/>
      <c r="D40" s="765"/>
      <c r="E40" s="760">
        <v>1</v>
      </c>
      <c r="I40" s="643" t="s">
        <v>620</v>
      </c>
      <c r="J40" s="643">
        <v>1</v>
      </c>
      <c r="K40" s="768"/>
    </row>
    <row r="41" spans="1:11">
      <c r="A41" s="643" t="s">
        <v>617</v>
      </c>
      <c r="B41" s="764"/>
      <c r="C41" s="765">
        <v>4</v>
      </c>
      <c r="D41" s="765"/>
      <c r="E41" s="760">
        <v>4</v>
      </c>
      <c r="I41" s="643" t="s">
        <v>629</v>
      </c>
      <c r="J41" s="643">
        <v>1</v>
      </c>
      <c r="K41" s="768"/>
    </row>
    <row r="42" spans="1:11">
      <c r="A42" s="643" t="s">
        <v>601</v>
      </c>
      <c r="B42" s="764"/>
      <c r="C42" s="765">
        <v>5</v>
      </c>
      <c r="D42" s="765"/>
      <c r="E42" s="760">
        <v>5</v>
      </c>
      <c r="I42" s="643" t="s">
        <v>645</v>
      </c>
      <c r="J42" s="643"/>
      <c r="K42">
        <v>5</v>
      </c>
    </row>
    <row r="43" spans="1:11">
      <c r="A43" s="643" t="s">
        <v>612</v>
      </c>
      <c r="B43" s="764">
        <v>3</v>
      </c>
      <c r="C43" s="765"/>
      <c r="D43" s="765"/>
      <c r="E43" s="760">
        <v>3</v>
      </c>
      <c r="I43" s="643" t="s">
        <v>601</v>
      </c>
      <c r="J43" s="643"/>
      <c r="K43">
        <v>5</v>
      </c>
    </row>
    <row r="44" spans="1:11">
      <c r="A44" s="643" t="s">
        <v>583</v>
      </c>
      <c r="B44" s="764"/>
      <c r="C44" s="765">
        <v>2</v>
      </c>
      <c r="D44" s="765"/>
      <c r="E44" s="760">
        <v>2</v>
      </c>
      <c r="I44" s="643" t="s">
        <v>570</v>
      </c>
      <c r="J44" s="643"/>
      <c r="K44">
        <v>4</v>
      </c>
    </row>
    <row r="45" spans="1:11">
      <c r="A45" s="643" t="s">
        <v>616</v>
      </c>
      <c r="B45" s="764">
        <v>1</v>
      </c>
      <c r="C45" s="765"/>
      <c r="D45" s="765"/>
      <c r="E45" s="760">
        <v>1</v>
      </c>
      <c r="I45" s="643" t="s">
        <v>617</v>
      </c>
      <c r="J45" s="643"/>
      <c r="K45">
        <v>4</v>
      </c>
    </row>
    <row r="46" spans="1:11">
      <c r="A46" s="643" t="s">
        <v>602</v>
      </c>
      <c r="B46" s="764">
        <v>1</v>
      </c>
      <c r="C46" s="765"/>
      <c r="D46" s="765"/>
      <c r="E46" s="760">
        <v>1</v>
      </c>
      <c r="I46" s="643" t="s">
        <v>599</v>
      </c>
      <c r="J46" s="643"/>
      <c r="K46">
        <v>4</v>
      </c>
    </row>
    <row r="47" spans="1:11">
      <c r="A47" s="643" t="s">
        <v>599</v>
      </c>
      <c r="B47" s="764"/>
      <c r="C47" s="765">
        <v>4</v>
      </c>
      <c r="D47" s="765"/>
      <c r="E47" s="760">
        <v>4</v>
      </c>
      <c r="I47" s="643" t="s">
        <v>527</v>
      </c>
      <c r="J47" s="643"/>
      <c r="K47">
        <v>3</v>
      </c>
    </row>
    <row r="48" spans="1:11">
      <c r="A48" s="643" t="s">
        <v>646</v>
      </c>
      <c r="B48" s="764">
        <v>4</v>
      </c>
      <c r="C48" s="765"/>
      <c r="D48" s="765"/>
      <c r="E48" s="760">
        <v>4</v>
      </c>
      <c r="I48" s="643" t="s">
        <v>636</v>
      </c>
      <c r="J48" s="643"/>
      <c r="K48">
        <v>3</v>
      </c>
    </row>
    <row r="49" spans="1:11">
      <c r="A49" s="643" t="s">
        <v>623</v>
      </c>
      <c r="B49" s="764"/>
      <c r="C49" s="765">
        <v>2</v>
      </c>
      <c r="D49" s="765"/>
      <c r="E49" s="760">
        <v>2</v>
      </c>
      <c r="I49" s="643" t="s">
        <v>641</v>
      </c>
      <c r="J49" s="643"/>
      <c r="K49">
        <v>2</v>
      </c>
    </row>
    <row r="50" spans="1:11">
      <c r="A50" s="643" t="s">
        <v>636</v>
      </c>
      <c r="B50" s="764"/>
      <c r="C50" s="765">
        <v>3</v>
      </c>
      <c r="D50" s="765"/>
      <c r="E50" s="760">
        <v>3</v>
      </c>
      <c r="I50" s="643" t="s">
        <v>649</v>
      </c>
      <c r="J50" s="643"/>
      <c r="K50">
        <v>2</v>
      </c>
    </row>
    <row r="51" spans="1:11">
      <c r="A51" s="643" t="s">
        <v>637</v>
      </c>
      <c r="B51" s="764">
        <v>1</v>
      </c>
      <c r="C51" s="765"/>
      <c r="D51" s="765"/>
      <c r="E51" s="760">
        <v>1</v>
      </c>
      <c r="I51" s="643" t="s">
        <v>588</v>
      </c>
      <c r="J51" s="643"/>
      <c r="K51">
        <v>2</v>
      </c>
    </row>
    <row r="52" spans="1:11">
      <c r="A52" s="643" t="s">
        <v>600</v>
      </c>
      <c r="B52" s="764">
        <v>1</v>
      </c>
      <c r="C52" s="765"/>
      <c r="D52" s="765"/>
      <c r="E52" s="760">
        <v>1</v>
      </c>
      <c r="I52" s="643" t="s">
        <v>583</v>
      </c>
      <c r="J52" s="643"/>
      <c r="K52">
        <v>2</v>
      </c>
    </row>
    <row r="53" spans="1:11">
      <c r="A53" s="643" t="s">
        <v>607</v>
      </c>
      <c r="B53" s="764"/>
      <c r="C53" s="765">
        <v>1</v>
      </c>
      <c r="D53" s="765"/>
      <c r="E53" s="760">
        <v>1</v>
      </c>
      <c r="I53" s="643" t="s">
        <v>623</v>
      </c>
      <c r="J53" s="643"/>
      <c r="K53">
        <v>2</v>
      </c>
    </row>
    <row r="54" spans="1:11">
      <c r="A54" s="643" t="s">
        <v>613</v>
      </c>
      <c r="B54" s="764">
        <v>2</v>
      </c>
      <c r="C54" s="765"/>
      <c r="D54" s="765"/>
      <c r="E54" s="760">
        <v>2</v>
      </c>
      <c r="I54" s="643" t="s">
        <v>594</v>
      </c>
      <c r="J54" s="643"/>
      <c r="K54">
        <v>2</v>
      </c>
    </row>
    <row r="55" spans="1:11">
      <c r="A55" s="643" t="s">
        <v>631</v>
      </c>
      <c r="B55" s="764">
        <v>1</v>
      </c>
      <c r="C55" s="765"/>
      <c r="D55" s="765"/>
      <c r="E55" s="760">
        <v>1</v>
      </c>
      <c r="I55" s="643" t="s">
        <v>530</v>
      </c>
      <c r="J55" s="643"/>
      <c r="K55">
        <v>1</v>
      </c>
    </row>
    <row r="56" spans="1:11">
      <c r="A56" s="643" t="s">
        <v>594</v>
      </c>
      <c r="B56" s="764"/>
      <c r="C56" s="765">
        <v>2</v>
      </c>
      <c r="D56" s="765"/>
      <c r="E56" s="760">
        <v>2</v>
      </c>
      <c r="I56" s="643" t="s">
        <v>559</v>
      </c>
      <c r="J56" s="643"/>
      <c r="K56">
        <v>1</v>
      </c>
    </row>
    <row r="57" spans="1:11">
      <c r="A57" s="643" t="s">
        <v>596</v>
      </c>
      <c r="B57" s="764">
        <v>3</v>
      </c>
      <c r="C57" s="765"/>
      <c r="D57" s="765"/>
      <c r="E57" s="760">
        <v>3</v>
      </c>
      <c r="I57" s="643" t="s">
        <v>639</v>
      </c>
      <c r="J57" s="643"/>
      <c r="K57">
        <v>1</v>
      </c>
    </row>
    <row r="58" spans="1:11">
      <c r="A58" s="643" t="s">
        <v>610</v>
      </c>
      <c r="B58" s="764"/>
      <c r="C58" s="765">
        <v>1</v>
      </c>
      <c r="D58" s="765"/>
      <c r="E58" s="760">
        <v>1</v>
      </c>
      <c r="I58" s="643" t="s">
        <v>638</v>
      </c>
      <c r="J58" s="643"/>
      <c r="K58">
        <v>1</v>
      </c>
    </row>
    <row r="59" spans="1:11">
      <c r="A59" s="643" t="s">
        <v>578</v>
      </c>
      <c r="B59" s="764">
        <v>1</v>
      </c>
      <c r="C59" s="765"/>
      <c r="D59" s="765"/>
      <c r="E59" s="760">
        <v>1</v>
      </c>
      <c r="I59" s="643" t="s">
        <v>625</v>
      </c>
      <c r="J59" s="643"/>
      <c r="K59">
        <v>1</v>
      </c>
    </row>
    <row r="60" spans="1:11">
      <c r="A60" s="643" t="s">
        <v>615</v>
      </c>
      <c r="B60" s="764"/>
      <c r="C60" s="765">
        <v>1</v>
      </c>
      <c r="D60" s="765"/>
      <c r="E60" s="760">
        <v>1</v>
      </c>
      <c r="I60" s="643" t="s">
        <v>643</v>
      </c>
      <c r="J60" s="643"/>
      <c r="K60">
        <v>1</v>
      </c>
    </row>
    <row r="61" spans="1:11">
      <c r="A61" s="643" t="s">
        <v>632</v>
      </c>
      <c r="B61" s="764"/>
      <c r="C61" s="765">
        <v>1</v>
      </c>
      <c r="D61" s="765"/>
      <c r="E61" s="760">
        <v>1</v>
      </c>
      <c r="I61" s="643" t="s">
        <v>607</v>
      </c>
      <c r="J61" s="643"/>
      <c r="K61">
        <v>1</v>
      </c>
    </row>
    <row r="62" spans="1:11">
      <c r="A62" s="643" t="s">
        <v>648</v>
      </c>
      <c r="B62" s="764">
        <v>1</v>
      </c>
      <c r="C62" s="765"/>
      <c r="D62" s="765"/>
      <c r="E62" s="760">
        <v>1</v>
      </c>
      <c r="I62" s="643" t="s">
        <v>610</v>
      </c>
      <c r="J62" s="643"/>
      <c r="K62">
        <v>1</v>
      </c>
    </row>
    <row r="63" spans="1:11">
      <c r="A63" s="643" t="s">
        <v>584</v>
      </c>
      <c r="B63" s="764"/>
      <c r="C63" s="765">
        <v>1</v>
      </c>
      <c r="D63" s="765"/>
      <c r="E63" s="760">
        <v>1</v>
      </c>
      <c r="I63" s="643" t="s">
        <v>615</v>
      </c>
      <c r="J63" s="643"/>
      <c r="K63">
        <v>1</v>
      </c>
    </row>
    <row r="64" spans="1:11">
      <c r="A64" s="643" t="s">
        <v>609</v>
      </c>
      <c r="B64" s="764"/>
      <c r="C64" s="765">
        <v>1</v>
      </c>
      <c r="D64" s="765"/>
      <c r="E64" s="760">
        <v>1</v>
      </c>
      <c r="I64" s="643" t="s">
        <v>632</v>
      </c>
      <c r="J64" s="643"/>
      <c r="K64">
        <v>1</v>
      </c>
    </row>
    <row r="65" spans="1:11">
      <c r="A65" s="643" t="s">
        <v>576</v>
      </c>
      <c r="B65" s="764"/>
      <c r="C65" s="765">
        <v>1</v>
      </c>
      <c r="D65" s="765"/>
      <c r="E65" s="760">
        <v>1</v>
      </c>
      <c r="I65" s="643" t="s">
        <v>584</v>
      </c>
      <c r="J65" s="643"/>
      <c r="K65">
        <v>1</v>
      </c>
    </row>
    <row r="66" spans="1:11">
      <c r="A66" s="643" t="s">
        <v>591</v>
      </c>
      <c r="B66" s="764"/>
      <c r="C66" s="765">
        <v>1</v>
      </c>
      <c r="D66" s="765"/>
      <c r="E66" s="760">
        <v>1</v>
      </c>
      <c r="I66" s="410" t="s">
        <v>609</v>
      </c>
      <c r="J66" s="410"/>
      <c r="K66" s="460">
        <v>1</v>
      </c>
    </row>
    <row r="67" spans="1:11">
      <c r="A67" s="643" t="s">
        <v>604</v>
      </c>
      <c r="B67" s="764">
        <v>1</v>
      </c>
      <c r="C67" s="765"/>
      <c r="D67" s="765"/>
      <c r="E67" s="760">
        <v>1</v>
      </c>
      <c r="I67" s="410" t="s">
        <v>576</v>
      </c>
      <c r="J67" s="410"/>
      <c r="K67" s="460">
        <v>1</v>
      </c>
    </row>
    <row r="68" spans="1:11">
      <c r="A68" s="643" t="s">
        <v>620</v>
      </c>
      <c r="B68" s="764">
        <v>1</v>
      </c>
      <c r="C68" s="765"/>
      <c r="D68" s="765"/>
      <c r="E68" s="760">
        <v>1</v>
      </c>
      <c r="I68" s="410" t="s">
        <v>591</v>
      </c>
      <c r="J68" s="410"/>
      <c r="K68" s="460">
        <v>1</v>
      </c>
    </row>
    <row r="69" spans="1:11">
      <c r="A69" s="643" t="s">
        <v>629</v>
      </c>
      <c r="B69" s="764">
        <v>1</v>
      </c>
      <c r="C69" s="765"/>
      <c r="D69" s="765"/>
      <c r="E69" s="760">
        <v>1</v>
      </c>
      <c r="I69" s="410"/>
      <c r="J69" s="410"/>
      <c r="K69" s="460"/>
    </row>
    <row r="70" spans="1:11">
      <c r="A70" s="684" t="s">
        <v>139</v>
      </c>
      <c r="B70" s="766">
        <v>78</v>
      </c>
      <c r="C70" s="767">
        <v>54</v>
      </c>
      <c r="D70" s="767">
        <v>6</v>
      </c>
      <c r="E70" s="761">
        <v>138</v>
      </c>
      <c r="I70" s="410"/>
      <c r="J70" s="410"/>
      <c r="K70" s="460"/>
    </row>
    <row r="71" spans="1:11">
      <c r="I71" s="410"/>
      <c r="J71" s="410"/>
      <c r="K71" s="460"/>
    </row>
    <row r="72" spans="1:11">
      <c r="I72" s="410"/>
      <c r="J72" s="410"/>
      <c r="K72" s="460"/>
    </row>
    <row r="73" spans="1:11">
      <c r="I73" s="410"/>
      <c r="J73" s="410"/>
      <c r="K73" s="460"/>
    </row>
    <row r="74" spans="1:11">
      <c r="I74" s="410"/>
      <c r="J74" s="410"/>
      <c r="K74" s="460"/>
    </row>
    <row r="75" spans="1:11">
      <c r="I75" s="410"/>
      <c r="J75" s="410"/>
      <c r="K75" s="460"/>
    </row>
    <row r="76" spans="1:11">
      <c r="I76" s="410"/>
      <c r="J76" s="410"/>
      <c r="K76" s="460"/>
    </row>
    <row r="77" spans="1:11">
      <c r="I77" s="410"/>
      <c r="J77" s="410"/>
      <c r="K77" s="460"/>
    </row>
    <row r="78" spans="1:11">
      <c r="I78" s="410"/>
      <c r="J78" s="410"/>
      <c r="K78" s="460"/>
    </row>
    <row r="79" spans="1:11">
      <c r="I79" s="410"/>
      <c r="J79" s="410"/>
      <c r="K79" s="460"/>
    </row>
    <row r="80" spans="1:11">
      <c r="I80" s="410"/>
      <c r="J80" s="410"/>
      <c r="K80" s="460"/>
    </row>
    <row r="81" spans="9:11">
      <c r="I81" s="410"/>
      <c r="J81" s="410"/>
      <c r="K81" s="460"/>
    </row>
    <row r="82" spans="9:11">
      <c r="I82" s="410"/>
      <c r="J82" s="410"/>
      <c r="K82" s="460"/>
    </row>
    <row r="83" spans="9:11">
      <c r="I83" s="410"/>
      <c r="J83" s="410"/>
      <c r="K83" s="460"/>
    </row>
    <row r="84" spans="9:11">
      <c r="I84" s="410"/>
      <c r="J84" s="410"/>
      <c r="K84" s="460"/>
    </row>
    <row r="85" spans="9:11">
      <c r="I85" s="410"/>
      <c r="J85" s="410"/>
      <c r="K85" s="460"/>
    </row>
    <row r="86" spans="9:11">
      <c r="I86" s="410"/>
      <c r="J86" s="410"/>
      <c r="K86" s="460"/>
    </row>
    <row r="87" spans="9:11">
      <c r="I87" s="410"/>
      <c r="J87" s="410"/>
      <c r="K87" s="460"/>
    </row>
    <row r="88" spans="9:11">
      <c r="I88" s="410"/>
      <c r="J88" s="410"/>
      <c r="K88" s="460"/>
    </row>
    <row r="89" spans="9:11">
      <c r="I89" s="410"/>
      <c r="J89" s="410"/>
      <c r="K89" s="460"/>
    </row>
    <row r="90" spans="9:11">
      <c r="I90" s="410"/>
      <c r="J90" s="410"/>
      <c r="K90" s="460"/>
    </row>
    <row r="91" spans="9:11">
      <c r="I91" s="410"/>
      <c r="J91" s="410"/>
      <c r="K91" s="460"/>
    </row>
    <row r="92" spans="9:11">
      <c r="I92" s="410"/>
      <c r="J92" s="410"/>
      <c r="K92" s="460"/>
    </row>
    <row r="93" spans="9:11">
      <c r="I93" s="410"/>
      <c r="J93" s="410"/>
      <c r="K93" s="460"/>
    </row>
    <row r="94" spans="9:11">
      <c r="I94" s="410"/>
      <c r="J94" s="410"/>
      <c r="K94" s="460"/>
    </row>
    <row r="95" spans="9:11">
      <c r="I95" s="410"/>
      <c r="J95" s="410"/>
      <c r="K95" s="460"/>
    </row>
    <row r="96" spans="9:11">
      <c r="I96" s="410"/>
      <c r="J96" s="410"/>
      <c r="K96" s="460"/>
    </row>
    <row r="97" spans="9:11">
      <c r="I97" s="410"/>
      <c r="J97" s="410"/>
      <c r="K97" s="460"/>
    </row>
    <row r="98" spans="9:11">
      <c r="I98" s="410"/>
      <c r="J98" s="410"/>
      <c r="K98" s="460"/>
    </row>
    <row r="99" spans="9:11">
      <c r="I99" s="410"/>
      <c r="J99" s="410"/>
      <c r="K99" s="460"/>
    </row>
    <row r="100" spans="9:11">
      <c r="I100" s="410"/>
      <c r="J100" s="410"/>
      <c r="K100" s="460"/>
    </row>
    <row r="101" spans="9:11">
      <c r="I101" s="410"/>
      <c r="J101" s="410"/>
      <c r="K101" s="460"/>
    </row>
    <row r="102" spans="9:11">
      <c r="I102" s="410"/>
      <c r="J102" s="410"/>
      <c r="K102" s="460"/>
    </row>
    <row r="103" spans="9:11">
      <c r="I103" s="410"/>
      <c r="J103" s="410"/>
      <c r="K103" s="460"/>
    </row>
    <row r="104" spans="9:11">
      <c r="I104" s="410"/>
      <c r="J104" s="410"/>
      <c r="K104" s="460"/>
    </row>
    <row r="105" spans="9:11">
      <c r="I105" s="214"/>
      <c r="J105" s="214"/>
      <c r="K105" s="214"/>
    </row>
    <row r="106" spans="9:11">
      <c r="I106" s="214"/>
      <c r="J106" s="214"/>
      <c r="K106" s="214"/>
    </row>
    <row r="107" spans="9:11">
      <c r="I107" s="214"/>
      <c r="J107" s="214"/>
      <c r="K107" s="214"/>
    </row>
    <row r="108" spans="9:11">
      <c r="I108" s="214"/>
      <c r="J108" s="214"/>
      <c r="K108" s="214"/>
    </row>
    <row r="109" spans="9:11">
      <c r="I109" s="214"/>
      <c r="J109" s="214"/>
      <c r="K109" s="214"/>
    </row>
    <row r="110" spans="9:11">
      <c r="I110" s="214"/>
      <c r="J110" s="214"/>
      <c r="K110" s="214"/>
    </row>
    <row r="111" spans="9:11">
      <c r="I111" s="214"/>
      <c r="J111" s="214"/>
      <c r="K111" s="214"/>
    </row>
    <row r="112" spans="9:11">
      <c r="I112" s="214"/>
      <c r="J112" s="214"/>
      <c r="K112" s="214"/>
    </row>
    <row r="113" spans="9:11">
      <c r="I113" s="214"/>
      <c r="J113" s="214"/>
      <c r="K113" s="214"/>
    </row>
    <row r="114" spans="9:11">
      <c r="I114" s="214"/>
      <c r="J114" s="214"/>
      <c r="K114" s="214"/>
    </row>
    <row r="115" spans="9:11">
      <c r="I115" s="214"/>
      <c r="J115" s="214"/>
      <c r="K115" s="214"/>
    </row>
    <row r="116" spans="9:11">
      <c r="I116" s="214"/>
      <c r="J116" s="214"/>
      <c r="K116" s="214"/>
    </row>
    <row r="117" spans="9:11">
      <c r="I117" s="214"/>
      <c r="J117" s="214"/>
      <c r="K117" s="214"/>
    </row>
    <row r="118" spans="9:11">
      <c r="I118" s="214"/>
      <c r="J118" s="214"/>
      <c r="K118" s="214"/>
    </row>
    <row r="119" spans="9:11">
      <c r="I119" s="214"/>
      <c r="J119" s="214"/>
      <c r="K119" s="214"/>
    </row>
    <row r="120" spans="9:11">
      <c r="I120" s="214"/>
      <c r="J120" s="214"/>
      <c r="K120" s="214"/>
    </row>
    <row r="121" spans="9:11">
      <c r="I121" s="214"/>
      <c r="J121" s="214"/>
      <c r="K121" s="214"/>
    </row>
    <row r="122" spans="9:11">
      <c r="I122" s="214"/>
      <c r="J122" s="214"/>
      <c r="K122" s="214"/>
    </row>
    <row r="123" spans="9:11">
      <c r="I123" s="214"/>
      <c r="J123" s="214"/>
      <c r="K123" s="214"/>
    </row>
    <row r="124" spans="9:11">
      <c r="I124" s="214"/>
      <c r="J124" s="214"/>
      <c r="K124" s="214"/>
    </row>
    <row r="125" spans="9:11">
      <c r="I125" s="214"/>
      <c r="J125" s="214"/>
      <c r="K125" s="214"/>
    </row>
    <row r="126" spans="9:11">
      <c r="I126" s="214"/>
      <c r="J126" s="214"/>
      <c r="K126" s="214"/>
    </row>
    <row r="127" spans="9:11">
      <c r="I127" s="214"/>
      <c r="J127" s="214"/>
      <c r="K127" s="214"/>
    </row>
    <row r="128" spans="9:11">
      <c r="I128" s="214"/>
      <c r="J128" s="214"/>
      <c r="K128" s="214"/>
    </row>
    <row r="129" spans="9:11">
      <c r="I129" s="214"/>
      <c r="J129" s="214"/>
      <c r="K129" s="214"/>
    </row>
    <row r="130" spans="9:11">
      <c r="I130" s="214"/>
      <c r="J130" s="214"/>
      <c r="K130" s="214"/>
    </row>
    <row r="131" spans="9:11">
      <c r="I131" s="214"/>
      <c r="J131" s="214"/>
      <c r="K131" s="214"/>
    </row>
    <row r="132" spans="9:11">
      <c r="I132" s="214"/>
      <c r="J132" s="214"/>
      <c r="K132" s="214"/>
    </row>
  </sheetData>
  <sortState xmlns:xlrd2="http://schemas.microsoft.com/office/spreadsheetml/2017/richdata2" ref="I5:K132">
    <sortCondition descending="1" ref="J5:J132"/>
  </sortState>
  <pageMargins left="0.7" right="0.7" top="0.75" bottom="0.75" header="0.3" footer="0.3"/>
  <pageSetup paperSize="9" orientation="portrait" r:id="rId2"/>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9">
    <tabColor rgb="FFFFFF00"/>
    <pageSetUpPr fitToPage="1"/>
  </sheetPr>
  <dimension ref="A1:AX82"/>
  <sheetViews>
    <sheetView tabSelected="1" topLeftCell="B1" zoomScaleNormal="100" workbookViewId="0">
      <selection activeCell="B1" sqref="B1"/>
    </sheetView>
  </sheetViews>
  <sheetFormatPr defaultRowHeight="12.75"/>
  <cols>
    <col min="1" max="1" width="9.1328125" hidden="1" customWidth="1"/>
    <col min="3" max="3" width="7.59765625" style="4" customWidth="1"/>
    <col min="4" max="4" width="11.86328125" style="4" customWidth="1"/>
    <col min="5" max="5" width="9" style="1" customWidth="1"/>
    <col min="6" max="6" width="25.73046875" customWidth="1"/>
    <col min="7" max="7" width="9.73046875" customWidth="1"/>
    <col min="8" max="8" width="9.73046875" style="1" customWidth="1"/>
    <col min="9" max="9" width="2" customWidth="1"/>
    <col min="10" max="10" width="3.59765625" style="4" customWidth="1"/>
    <col min="11" max="12" width="8.59765625" customWidth="1"/>
    <col min="13" max="13" width="15.59765625" customWidth="1"/>
    <col min="14" max="14" width="6.59765625" customWidth="1"/>
    <col min="15" max="15" width="8.265625" customWidth="1"/>
    <col min="16" max="17" width="6.59765625" customWidth="1"/>
    <col min="18" max="18" width="6.73046875" customWidth="1"/>
    <col min="19" max="19" width="13" customWidth="1"/>
    <col min="20" max="20" width="1.265625" customWidth="1"/>
    <col min="21" max="25" width="8.86328125" hidden="1" customWidth="1"/>
    <col min="26" max="26" width="1.3984375" customWidth="1"/>
    <col min="27" max="27" width="14" hidden="1" customWidth="1"/>
    <col min="28" max="28" width="15.1328125" customWidth="1"/>
    <col min="29" max="29" width="7.59765625" style="186" customWidth="1"/>
    <col min="30" max="30" width="3.73046875" hidden="1" customWidth="1"/>
    <col min="31" max="31" width="16.1328125" customWidth="1"/>
    <col min="32" max="32" width="7.73046875" customWidth="1"/>
    <col min="33" max="33" width="8.1328125" hidden="1" customWidth="1"/>
    <col min="34" max="34" width="16.265625" customWidth="1"/>
    <col min="35" max="35" width="7.1328125" customWidth="1"/>
    <col min="36" max="36" width="3.86328125" hidden="1" customWidth="1"/>
    <col min="37" max="37" width="15.59765625" customWidth="1"/>
    <col min="38" max="38" width="7.59765625" customWidth="1"/>
    <col min="40" max="43" width="20.59765625" customWidth="1"/>
  </cols>
  <sheetData>
    <row r="1" spans="1:49" ht="23.1" customHeight="1">
      <c r="B1" s="458" t="s">
        <v>446</v>
      </c>
      <c r="C1" s="459" t="s">
        <v>539</v>
      </c>
      <c r="D1" s="459" t="s">
        <v>540</v>
      </c>
      <c r="E1" s="80"/>
      <c r="F1" s="76"/>
      <c r="G1" s="76"/>
      <c r="H1" s="80"/>
      <c r="I1" s="76"/>
      <c r="J1" s="77"/>
      <c r="K1" s="76"/>
      <c r="L1" s="76"/>
      <c r="M1" s="76"/>
      <c r="N1" s="76"/>
      <c r="O1" s="76"/>
      <c r="P1" s="76"/>
      <c r="Q1" s="76"/>
      <c r="R1" s="76"/>
      <c r="S1" s="76"/>
      <c r="T1" s="76"/>
      <c r="U1" s="76"/>
      <c r="V1" s="76"/>
      <c r="W1" s="76"/>
      <c r="X1" s="76"/>
      <c r="Y1" s="76"/>
      <c r="Z1" s="76"/>
      <c r="AA1" s="76"/>
      <c r="AB1" s="76"/>
      <c r="AC1" s="87"/>
      <c r="AD1" s="76"/>
      <c r="AE1" s="76"/>
      <c r="AF1" s="76"/>
      <c r="AG1" s="76"/>
      <c r="AH1" s="76"/>
      <c r="AI1" s="76"/>
      <c r="AJ1" s="76"/>
      <c r="AK1" s="76"/>
      <c r="AL1" s="76"/>
      <c r="AM1" s="76"/>
      <c r="AN1" s="76"/>
      <c r="AO1" s="76"/>
      <c r="AP1" s="76"/>
      <c r="AQ1" s="76"/>
      <c r="AR1" s="76"/>
    </row>
    <row r="2" spans="1:49" ht="23.25" customHeight="1">
      <c r="B2" s="458" t="s">
        <v>461</v>
      </c>
      <c r="C2" s="567" t="s">
        <v>574</v>
      </c>
      <c r="D2" s="77"/>
      <c r="E2" s="80"/>
      <c r="F2" s="76"/>
      <c r="G2" s="76"/>
      <c r="H2" s="80"/>
      <c r="I2" s="76"/>
      <c r="J2" s="77"/>
      <c r="K2" s="76"/>
      <c r="L2" s="76"/>
      <c r="M2" s="76"/>
      <c r="N2" s="76"/>
      <c r="O2" s="76"/>
      <c r="P2" s="76"/>
      <c r="Q2" s="76"/>
      <c r="R2" s="76"/>
      <c r="S2" s="76"/>
      <c r="T2" s="446"/>
      <c r="U2" s="76"/>
      <c r="V2" s="76"/>
      <c r="W2" s="76"/>
      <c r="X2" s="76"/>
      <c r="Y2" s="76"/>
      <c r="Z2" s="76"/>
      <c r="AA2" s="76"/>
      <c r="AB2" s="76"/>
      <c r="AC2" s="87"/>
      <c r="AD2" s="76"/>
      <c r="AE2" s="76"/>
      <c r="AF2" s="76"/>
      <c r="AG2" s="76"/>
      <c r="AH2" s="76"/>
      <c r="AI2" s="76"/>
      <c r="AJ2" s="76"/>
      <c r="AK2" s="76"/>
      <c r="AL2" s="76"/>
      <c r="AM2" s="76"/>
      <c r="AN2" s="76"/>
      <c r="AO2" s="76"/>
      <c r="AP2" s="76"/>
      <c r="AQ2" s="76"/>
      <c r="AR2" s="76"/>
      <c r="AS2" s="76"/>
      <c r="AT2" s="76"/>
      <c r="AU2" s="76"/>
      <c r="AV2" s="76"/>
      <c r="AW2" s="76"/>
    </row>
    <row r="3" spans="1:49" ht="26.25" customHeight="1">
      <c r="B3" s="76"/>
      <c r="C3" s="137"/>
      <c r="D3" s="717" t="str">
        <f>CONCATENATE("Promotion/Prize Places (Top 6) In Division after Round ",$C$2)</f>
        <v>Promotion/Prize Places (Top 6) In Division after Round 06</v>
      </c>
      <c r="E3" s="718"/>
      <c r="F3" s="718"/>
      <c r="G3" s="718"/>
      <c r="H3" s="719"/>
      <c r="I3" s="137"/>
      <c r="J3" s="312"/>
      <c r="K3" s="717" t="str">
        <f>CONCATENATE("Weekly Top 12 for Round ",$C$2)</f>
        <v>Weekly Top 12 for Round 06</v>
      </c>
      <c r="L3" s="718"/>
      <c r="M3" s="718"/>
      <c r="N3" s="718"/>
      <c r="O3" s="718"/>
      <c r="P3" s="718"/>
      <c r="Q3" s="718"/>
      <c r="R3" s="718"/>
      <c r="S3" s="719"/>
      <c r="T3" s="76"/>
      <c r="U3" s="457"/>
      <c r="V3" s="76"/>
      <c r="W3" s="76"/>
      <c r="X3" s="76"/>
      <c r="Y3" s="76"/>
      <c r="Z3" s="76"/>
      <c r="AA3" s="378"/>
      <c r="AB3" s="717" t="str">
        <f>CONCATENATE("League Standings after Round ",$C$2)</f>
        <v>League Standings after Round 06</v>
      </c>
      <c r="AC3" s="718"/>
      <c r="AD3" s="718"/>
      <c r="AE3" s="718"/>
      <c r="AF3" s="718"/>
      <c r="AG3" s="718"/>
      <c r="AH3" s="718"/>
      <c r="AI3" s="718"/>
      <c r="AJ3" s="464"/>
      <c r="AK3" s="464"/>
      <c r="AL3" s="457"/>
      <c r="AM3" s="76"/>
      <c r="AN3" s="730" t="s">
        <v>486</v>
      </c>
      <c r="AO3" s="730"/>
      <c r="AP3" s="730"/>
      <c r="AQ3" s="730"/>
      <c r="AR3" s="76"/>
      <c r="AS3" s="76"/>
      <c r="AT3" s="76"/>
      <c r="AU3" s="76"/>
      <c r="AV3" s="76"/>
      <c r="AW3" s="76"/>
    </row>
    <row r="4" spans="1:49" ht="27" customHeight="1">
      <c r="B4" s="76"/>
      <c r="C4" s="215" t="s">
        <v>212</v>
      </c>
      <c r="D4" s="284" t="s">
        <v>262</v>
      </c>
      <c r="E4" s="285" t="s">
        <v>263</v>
      </c>
      <c r="F4" s="131" t="s">
        <v>163</v>
      </c>
      <c r="G4" s="277" t="s">
        <v>264</v>
      </c>
      <c r="H4" s="278" t="s">
        <v>127</v>
      </c>
      <c r="I4" s="138"/>
      <c r="J4" s="312"/>
      <c r="K4" s="406" t="s">
        <v>102</v>
      </c>
      <c r="L4" s="737" t="s">
        <v>163</v>
      </c>
      <c r="M4" s="715"/>
      <c r="N4" s="474" t="s">
        <v>496</v>
      </c>
      <c r="O4" s="473" t="s">
        <v>217</v>
      </c>
      <c r="P4" s="474" t="s">
        <v>444</v>
      </c>
      <c r="Q4" s="474" t="s">
        <v>437</v>
      </c>
      <c r="R4" s="468" t="s">
        <v>435</v>
      </c>
      <c r="S4" s="469" t="s">
        <v>436</v>
      </c>
      <c r="T4" s="76"/>
      <c r="U4" s="76"/>
      <c r="V4" s="58" t="s">
        <v>219</v>
      </c>
      <c r="W4" s="58" t="s">
        <v>163</v>
      </c>
      <c r="X4" s="58" t="s">
        <v>13</v>
      </c>
      <c r="Y4" s="58" t="s">
        <v>53</v>
      </c>
      <c r="Z4" s="76"/>
      <c r="AA4" s="379"/>
      <c r="AB4" s="739" t="s">
        <v>213</v>
      </c>
      <c r="AC4" s="740"/>
      <c r="AD4" s="412"/>
      <c r="AE4" s="739" t="s">
        <v>214</v>
      </c>
      <c r="AF4" s="740"/>
      <c r="AG4" s="412"/>
      <c r="AH4" s="739" t="s">
        <v>215</v>
      </c>
      <c r="AI4" s="740"/>
      <c r="AJ4" s="412"/>
      <c r="AK4" s="739" t="s">
        <v>216</v>
      </c>
      <c r="AL4" s="740"/>
      <c r="AM4" s="76"/>
      <c r="AN4" s="131" t="str">
        <f>IF(AB4="","",AB4)</f>
        <v>Division A</v>
      </c>
      <c r="AO4" s="131" t="str">
        <f>IF(AE4="","",AE4)</f>
        <v>Division B</v>
      </c>
      <c r="AP4" s="131" t="str">
        <f>IF(AH4="","",AH4)</f>
        <v>Division C</v>
      </c>
      <c r="AQ4" s="131" t="str">
        <f>IF(AK4="","",AK4)</f>
        <v>Division D</v>
      </c>
      <c r="AR4" s="76"/>
      <c r="AS4" s="76"/>
      <c r="AT4" s="76"/>
      <c r="AU4" s="76"/>
      <c r="AV4" s="76"/>
      <c r="AW4" s="76"/>
    </row>
    <row r="5" spans="1:49" ht="18" customHeight="1">
      <c r="A5" s="8" t="s">
        <v>38</v>
      </c>
      <c r="B5" s="743" t="s">
        <v>213</v>
      </c>
      <c r="C5" s="216">
        <v>1</v>
      </c>
      <c r="D5" s="286">
        <f>INDEX(Table!I:I,MATCH($A5,Table!$B:$B,0))</f>
        <v>3.859444444444442</v>
      </c>
      <c r="E5" s="135">
        <f>INDEX(Table!J:J,MATCH($A5,Table!$B:$B,0))</f>
        <v>9</v>
      </c>
      <c r="F5" s="136" t="str">
        <f>INDEX(Table!F:F,MATCH($A5,Table!$B:$B,0))</f>
        <v>Paul Barnes</v>
      </c>
      <c r="G5" s="286">
        <f>INDEX(Table!K:K,MATCH($A5,Table!$B:$B,0))</f>
        <v>15.625</v>
      </c>
      <c r="H5" s="135">
        <f>INDEX(Table!L:L,MATCH($A5,Table!$B:$B,0))</f>
        <v>3</v>
      </c>
      <c r="I5" s="137"/>
      <c r="J5" s="525">
        <v>1</v>
      </c>
      <c r="K5" s="217">
        <v>10</v>
      </c>
      <c r="L5" s="741" t="str">
        <f>INDEX(Weekly!E:E,MATCH($J5,Weekly!$B:$B,0))</f>
        <v>Paul Fairhurst</v>
      </c>
      <c r="M5" s="742"/>
      <c r="N5" s="475">
        <f>INDEX(Weekly!A:A,MATCH($L5,Weekly!$E:$E,0))</f>
        <v>1</v>
      </c>
      <c r="O5" s="570" t="str">
        <f>INDEX(Weekly!D:D,MATCH($L5,Weekly!$E:$E,0))</f>
        <v>B</v>
      </c>
      <c r="P5" s="570">
        <f>INDEX(Table!D:D,MATCH($L5,Table!$F:$F,0))</f>
        <v>1</v>
      </c>
      <c r="Q5" s="478">
        <f>INDEX(Weekly!F:F,MATCH($L5,Weekly!$E:$E,0))</f>
        <v>36.950000000000003</v>
      </c>
      <c r="R5" s="481">
        <f>INDEX(Weekly!I:I,MATCH($L5,Weekly!$E:$E,0))</f>
        <v>3</v>
      </c>
      <c r="S5" s="341">
        <f>INDEX(Weekly!H:H,MATCH($L5,Weekly!$E:$E,0))</f>
        <v>16.990000000000002</v>
      </c>
      <c r="T5" s="76"/>
      <c r="U5" s="76">
        <v>1</v>
      </c>
      <c r="V5" s="76"/>
      <c r="W5" s="76"/>
      <c r="X5" s="76"/>
      <c r="Y5" s="76"/>
      <c r="Z5" s="76"/>
      <c r="AA5" s="380" t="s">
        <v>38</v>
      </c>
      <c r="AB5" s="383" t="str">
        <f>INDEX(Table!$F:$F,MATCH(AA5,Table!$B:$B,0))</f>
        <v>Paul Barnes</v>
      </c>
      <c r="AC5" s="384">
        <f>INDEX(Table!$I:$I,MATCH(AA5,Table!$B:$B,0))</f>
        <v>3.859444444444442</v>
      </c>
      <c r="AD5" s="385" t="s">
        <v>230</v>
      </c>
      <c r="AE5" s="418" t="str">
        <f>INDEX(Table!$F:$F,MATCH(AD5,Table!$B:$B,0))</f>
        <v>Paul Fairhurst</v>
      </c>
      <c r="AF5" s="384">
        <f>INDEX(Table!$I:$I,MATCH(AD5,Table!$B:$B,0))</f>
        <v>36.950000000000003</v>
      </c>
      <c r="AG5" s="385" t="s">
        <v>235</v>
      </c>
      <c r="AH5" s="418" t="str">
        <f>INDEX(Table!$F:$F,MATCH(AG5,Table!$B:$B,0))</f>
        <v>Steve Waterhouse</v>
      </c>
      <c r="AI5" s="384">
        <f>INDEX(Table!$I:$I,MATCH(AG5,Table!$B:$B,0))</f>
        <v>32.941796085858584</v>
      </c>
      <c r="AJ5" s="385" t="s">
        <v>36</v>
      </c>
      <c r="AK5" s="418" t="e">
        <f>INDEX(Table!$F:$F,MATCH(AJ5,Table!$B:$B,0))</f>
        <v>#N/A</v>
      </c>
      <c r="AL5" s="384" t="e">
        <f>INDEX(Table!$I:$I,MATCH(AJ5,Table!$B:$B,0))</f>
        <v>#N/A</v>
      </c>
      <c r="AM5" s="76"/>
      <c r="AN5" s="550" t="str">
        <f>IF(AB5="","",AB5)</f>
        <v>Paul Barnes</v>
      </c>
      <c r="AO5" s="550" t="str">
        <f t="shared" ref="AO5:AO20" si="0">IF(AE5="","",AE5)</f>
        <v>Paul Fairhurst</v>
      </c>
      <c r="AP5" s="550" t="str">
        <f t="shared" ref="AP5:AP16" si="1">IF(AH5="","",AH5)</f>
        <v>Steve Waterhouse</v>
      </c>
      <c r="AQ5" s="550" t="e">
        <f t="shared" ref="AQ5:AQ20" si="2">IF(AK5="","",AK5)</f>
        <v>#N/A</v>
      </c>
      <c r="AR5" s="76"/>
      <c r="AS5" s="76"/>
      <c r="AT5" s="76"/>
      <c r="AU5" s="76"/>
      <c r="AV5" s="76"/>
      <c r="AW5" s="76"/>
    </row>
    <row r="6" spans="1:49" ht="18" customHeight="1">
      <c r="A6" s="8" t="s">
        <v>39</v>
      </c>
      <c r="B6" s="744"/>
      <c r="C6" s="216">
        <v>2</v>
      </c>
      <c r="D6" s="286">
        <f>INDEX(Table!I:I,MATCH($A6,Table!$B:$B,0))</f>
        <v>1.8999999999999986</v>
      </c>
      <c r="E6" s="135">
        <f>INDEX(Table!J:J,MATCH($A6,Table!$B:$B,0))</f>
        <v>10</v>
      </c>
      <c r="F6" s="136" t="str">
        <f>INDEX(Table!F:F,MATCH($A6,Table!$B:$B,0))</f>
        <v>Howard Bradley</v>
      </c>
      <c r="G6" s="286">
        <f>INDEX(Table!K:K,MATCH($A6,Table!$B:$B,0))</f>
        <v>-2.375</v>
      </c>
      <c r="H6" s="135">
        <f>INDEX(Table!L:L,MATCH($A6,Table!$B:$B,0))</f>
        <v>2</v>
      </c>
      <c r="I6" s="137"/>
      <c r="J6" s="525">
        <v>2</v>
      </c>
      <c r="K6" s="217">
        <v>5</v>
      </c>
      <c r="L6" s="728" t="str">
        <f>INDEX(Weekly!E:E,MATCH($J6,Weekly!$B:$B,0))</f>
        <v>Paul Barnes</v>
      </c>
      <c r="M6" s="729"/>
      <c r="N6" s="475">
        <f>INDEX(Weekly!A:A,MATCH($L6,Weekly!$E:$E,0))</f>
        <v>6</v>
      </c>
      <c r="O6" s="570" t="str">
        <f>INDEX(Weekly!D:D,MATCH($L6,Weekly!$E:$E,0))</f>
        <v>A</v>
      </c>
      <c r="P6" s="570">
        <f>INDEX(Table!D:D,MATCH($L6,Table!$F:$F,0))</f>
        <v>1</v>
      </c>
      <c r="Q6" s="478">
        <f>INDEX(Weekly!F:F,MATCH($L6,Weekly!$E:$E,0))</f>
        <v>3.859444444444442</v>
      </c>
      <c r="R6" s="481">
        <f>INDEX(Weekly!I:I,MATCH($L6,Weekly!$E:$E,0))</f>
        <v>3</v>
      </c>
      <c r="S6" s="341">
        <f>INDEX(Weekly!H:H,MATCH($L6,Weekly!$E:$E,0))</f>
        <v>15.625</v>
      </c>
      <c r="T6" s="76"/>
      <c r="U6" s="76">
        <v>2</v>
      </c>
      <c r="V6" s="76"/>
      <c r="W6" s="76"/>
      <c r="X6" s="76"/>
      <c r="Y6" s="76"/>
      <c r="Z6" s="76"/>
      <c r="AA6" s="380" t="s">
        <v>39</v>
      </c>
      <c r="AB6" s="383" t="str">
        <f>INDEX(Table!F:F,MATCH(AA6,Table!$B:$B,0))</f>
        <v>Howard Bradley</v>
      </c>
      <c r="AC6" s="384">
        <f>INDEX(Table!I:I,MATCH(AA6,Table!$B:$B,0))</f>
        <v>1.8999999999999986</v>
      </c>
      <c r="AD6" s="385" t="s">
        <v>231</v>
      </c>
      <c r="AE6" s="418" t="str">
        <f>INDEX(Table!$F:$F,MATCH(AD6,Table!$B:$B,0))</f>
        <v>Phil Miller</v>
      </c>
      <c r="AF6" s="384">
        <f>INDEX(Table!$I:$I,MATCH(AD6,Table!$B:$B,0))</f>
        <v>22.785085914085911</v>
      </c>
      <c r="AG6" s="385" t="s">
        <v>236</v>
      </c>
      <c r="AH6" s="418" t="str">
        <f>INDEX(Table!$F:$F,MATCH(AG6,Table!$B:$B,0))</f>
        <v>Simon Kimble</v>
      </c>
      <c r="AI6" s="384">
        <f>INDEX(Table!$I:$I,MATCH(AG6,Table!$B:$B,0))</f>
        <v>17.555000000000003</v>
      </c>
      <c r="AJ6" s="385" t="s">
        <v>37</v>
      </c>
      <c r="AK6" s="418" t="e">
        <f>INDEX(Table!$F:$F,MATCH(AJ6,Table!$B:$B,0))</f>
        <v>#N/A</v>
      </c>
      <c r="AL6" s="384" t="e">
        <f>INDEX(Table!$I:$I,MATCH(AJ6,Table!$B:$B,0))</f>
        <v>#N/A</v>
      </c>
      <c r="AM6" s="76"/>
      <c r="AN6" s="550" t="str">
        <f t="shared" ref="AN6:AN20" si="3">IF(AB6="","",AB6)</f>
        <v>Howard Bradley</v>
      </c>
      <c r="AO6" s="550" t="str">
        <f t="shared" si="0"/>
        <v>Phil Miller</v>
      </c>
      <c r="AP6" s="550" t="str">
        <f t="shared" si="1"/>
        <v>Simon Kimble</v>
      </c>
      <c r="AQ6" s="550" t="e">
        <f t="shared" si="2"/>
        <v>#N/A</v>
      </c>
      <c r="AR6" s="76"/>
      <c r="AS6" s="76"/>
      <c r="AT6" s="76"/>
      <c r="AU6" s="76"/>
      <c r="AV6" s="76"/>
      <c r="AW6" s="76"/>
    </row>
    <row r="7" spans="1:49" ht="18" customHeight="1">
      <c r="A7" s="8" t="s">
        <v>227</v>
      </c>
      <c r="B7" s="744"/>
      <c r="C7" s="216">
        <v>3</v>
      </c>
      <c r="D7" s="286">
        <f>INDEX(Table!I:I,MATCH($A7,Table!$B:$B,0))</f>
        <v>-8.6989177489177489</v>
      </c>
      <c r="E7" s="135">
        <f>INDEX(Table!J:J,MATCH($A7,Table!$B:$B,0))</f>
        <v>11</v>
      </c>
      <c r="F7" s="136" t="str">
        <f>INDEX(Table!F:F,MATCH($A7,Table!$B:$B,0))</f>
        <v>Rob England</v>
      </c>
      <c r="G7" s="286">
        <f>INDEX(Table!K:K,MATCH($A7,Table!$B:$B,0))</f>
        <v>-5.6363636363636367</v>
      </c>
      <c r="H7" s="135">
        <f>INDEX(Table!L:L,MATCH($A7,Table!$B:$B,0))</f>
        <v>1</v>
      </c>
      <c r="I7" s="137"/>
      <c r="J7" s="525">
        <v>3</v>
      </c>
      <c r="K7" s="217">
        <v>5</v>
      </c>
      <c r="L7" s="728" t="str">
        <f>INDEX(Weekly!E:E,MATCH($J7,Weekly!$B:$B,0))</f>
        <v>Mark Saunders</v>
      </c>
      <c r="M7" s="729"/>
      <c r="N7" s="475">
        <f>INDEX(Weekly!A:A,MATCH($L7,Weekly!$E:$E,0))</f>
        <v>13</v>
      </c>
      <c r="O7" s="570" t="str">
        <f>INDEX(Weekly!D:D,MATCH($L7,Weekly!$E:$E,0))</f>
        <v>B</v>
      </c>
      <c r="P7" s="570">
        <f>INDEX(Table!D:D,MATCH($L7,Table!$F:$F,0))</f>
        <v>5</v>
      </c>
      <c r="Q7" s="478">
        <f>INDEX(Weekly!F:F,MATCH($L7,Weekly!$E:$E,0))</f>
        <v>-9.7723214285714306</v>
      </c>
      <c r="R7" s="481">
        <f>INDEX(Weekly!I:I,MATCH($L7,Weekly!$E:$E,0))</f>
        <v>3</v>
      </c>
      <c r="S7" s="341">
        <f>INDEX(Weekly!H:H,MATCH($L7,Weekly!$E:$E,0))</f>
        <v>14.65625</v>
      </c>
      <c r="T7" s="76"/>
      <c r="U7" s="76">
        <v>3</v>
      </c>
      <c r="V7" s="76"/>
      <c r="W7" s="76"/>
      <c r="X7" s="76"/>
      <c r="Y7" s="76"/>
      <c r="Z7" s="76"/>
      <c r="AA7" s="380" t="s">
        <v>227</v>
      </c>
      <c r="AB7" s="383" t="str">
        <f>INDEX(Table!F:F,MATCH(AA7,Table!$B:$B,0))</f>
        <v>Rob England</v>
      </c>
      <c r="AC7" s="384">
        <f>INDEX(Table!I:I,MATCH(AA7,Table!$B:$B,0))</f>
        <v>-8.6989177489177489</v>
      </c>
      <c r="AD7" s="385" t="s">
        <v>232</v>
      </c>
      <c r="AE7" s="418" t="str">
        <f>INDEX(Table!$F:$F,MATCH(AD7,Table!$B:$B,0))</f>
        <v>Frank Allen</v>
      </c>
      <c r="AF7" s="384">
        <f>INDEX(Table!$I:$I,MATCH(AD7,Table!$B:$B,0))</f>
        <v>6.2209090909090916</v>
      </c>
      <c r="AG7" s="385" t="s">
        <v>237</v>
      </c>
      <c r="AH7" s="418" t="str">
        <f>INDEX(Table!$F:$F,MATCH(AG7,Table!$B:$B,0))</f>
        <v>Alick Rocca</v>
      </c>
      <c r="AI7" s="384">
        <f>INDEX(Table!$I:$I,MATCH(AG7,Table!$B:$B,0))</f>
        <v>-4.8249999999999993</v>
      </c>
      <c r="AJ7" s="385" t="s">
        <v>240</v>
      </c>
      <c r="AK7" s="418" t="e">
        <f>INDEX(Table!$F:$F,MATCH(AJ7,Table!$B:$B,0))</f>
        <v>#N/A</v>
      </c>
      <c r="AL7" s="384" t="e">
        <f>INDEX(Table!$I:$I,MATCH(AJ7,Table!$B:$B,0))</f>
        <v>#N/A</v>
      </c>
      <c r="AM7" s="76"/>
      <c r="AN7" s="550" t="str">
        <f t="shared" si="3"/>
        <v>Rob England</v>
      </c>
      <c r="AO7" s="550" t="str">
        <f t="shared" si="0"/>
        <v>Frank Allen</v>
      </c>
      <c r="AP7" s="550" t="str">
        <f t="shared" si="1"/>
        <v>Alick Rocca</v>
      </c>
      <c r="AQ7" s="550" t="e">
        <f t="shared" si="2"/>
        <v>#N/A</v>
      </c>
      <c r="AR7" s="76"/>
      <c r="AS7" s="76"/>
      <c r="AT7" s="76"/>
      <c r="AU7" s="76"/>
      <c r="AV7" s="76"/>
      <c r="AW7" s="76"/>
    </row>
    <row r="8" spans="1:49" ht="18" customHeight="1" thickBot="1">
      <c r="A8" s="8" t="s">
        <v>228</v>
      </c>
      <c r="B8" s="744"/>
      <c r="C8" s="216">
        <v>4</v>
      </c>
      <c r="D8" s="286">
        <f>INDEX(Table!I:I,MATCH($A8,Table!$B:$B,0))</f>
        <v>-10.369008264462805</v>
      </c>
      <c r="E8" s="135">
        <f>INDEX(Table!J:J,MATCH($A8,Table!$B:$B,0))</f>
        <v>6</v>
      </c>
      <c r="F8" s="136" t="str">
        <f>INDEX(Table!F:F,MATCH($A8,Table!$B:$B,0))</f>
        <v>Nigel Heyes</v>
      </c>
      <c r="G8" s="286">
        <f>INDEX(Table!K:K,MATCH($A8,Table!$B:$B,0))</f>
        <v>-7</v>
      </c>
      <c r="H8" s="135">
        <f>INDEX(Table!L:L,MATCH($A8,Table!$B:$B,0))</f>
        <v>0</v>
      </c>
      <c r="I8" s="525"/>
      <c r="J8" s="525">
        <v>4</v>
      </c>
      <c r="K8" s="283">
        <v>2.5</v>
      </c>
      <c r="L8" s="725" t="str">
        <f>INDEX(Weekly!E:E,MATCH($J8,Weekly!$B:$B,0))</f>
        <v>Alick Rocca</v>
      </c>
      <c r="M8" s="726"/>
      <c r="N8" s="476">
        <f>INDEX(Weekly!A:A,MATCH($L8,Weekly!$E:$E,0))</f>
        <v>9</v>
      </c>
      <c r="O8" s="571" t="str">
        <f>INDEX(Weekly!D:D,MATCH($L8,Weekly!$E:$E,0))</f>
        <v>C</v>
      </c>
      <c r="P8" s="571">
        <f>INDEX(Table!D:D,MATCH($L8,Table!$F:$F,0))</f>
        <v>3</v>
      </c>
      <c r="Q8" s="479">
        <f>INDEX(Weekly!F:F,MATCH($L8,Weekly!$E:$E,0))</f>
        <v>-4.8249999999999993</v>
      </c>
      <c r="R8" s="482">
        <f>INDEX(Weekly!I:I,MATCH($L8,Weekly!$E:$E,0))</f>
        <v>2</v>
      </c>
      <c r="S8" s="411">
        <f>INDEX(Weekly!H:H,MATCH($L8,Weekly!$E:$E,0))</f>
        <v>9.6000000000000014</v>
      </c>
      <c r="T8" s="76"/>
      <c r="U8" s="76">
        <v>4</v>
      </c>
      <c r="V8" s="76"/>
      <c r="W8" s="76"/>
      <c r="X8" s="76"/>
      <c r="Y8" s="76"/>
      <c r="Z8" s="76"/>
      <c r="AA8" s="380" t="s">
        <v>228</v>
      </c>
      <c r="AB8" s="383" t="str">
        <f>INDEX(Table!F:F,MATCH(AA8,Table!$B:$B,0))</f>
        <v>Nigel Heyes</v>
      </c>
      <c r="AC8" s="384">
        <f>INDEX(Table!I:I,MATCH(AA8,Table!$B:$B,0))</f>
        <v>-10.369008264462805</v>
      </c>
      <c r="AD8" s="385" t="s">
        <v>233</v>
      </c>
      <c r="AE8" s="418" t="str">
        <f>INDEX(Table!$F:$F,MATCH(AD8,Table!$B:$B,0))</f>
        <v>Gerard Ventom</v>
      </c>
      <c r="AF8" s="384">
        <f>INDEX(Table!$I:$I,MATCH(AD8,Table!$B:$B,0))</f>
        <v>0.77499999999999858</v>
      </c>
      <c r="AG8" s="385" t="s">
        <v>238</v>
      </c>
      <c r="AH8" s="418" t="str">
        <f>INDEX(Table!$F:$F,MATCH(AG8,Table!$B:$B,0))</f>
        <v>Dot Bow</v>
      </c>
      <c r="AI8" s="384">
        <f>INDEX(Table!$I:$I,MATCH(AG8,Table!$B:$B,0))</f>
        <v>-8.6601282051282062</v>
      </c>
      <c r="AJ8" s="385" t="s">
        <v>305</v>
      </c>
      <c r="AK8" s="418" t="e">
        <f>INDEX(Table!$F:$F,MATCH(AJ8,Table!$B:$B,0))</f>
        <v>#N/A</v>
      </c>
      <c r="AL8" s="384" t="e">
        <f>INDEX(Table!$I:$I,MATCH(AJ8,Table!$B:$B,0))</f>
        <v>#N/A</v>
      </c>
      <c r="AM8" s="76"/>
      <c r="AN8" s="550" t="str">
        <f t="shared" si="3"/>
        <v>Nigel Heyes</v>
      </c>
      <c r="AO8" s="550" t="str">
        <f t="shared" si="0"/>
        <v>Gerard Ventom</v>
      </c>
      <c r="AP8" s="550" t="str">
        <f t="shared" si="1"/>
        <v>Dot Bow</v>
      </c>
      <c r="AQ8" s="550" t="e">
        <f t="shared" si="2"/>
        <v>#N/A</v>
      </c>
      <c r="AR8" s="76"/>
      <c r="AS8" s="76"/>
      <c r="AT8" s="76"/>
      <c r="AU8" s="76"/>
      <c r="AV8" s="76"/>
      <c r="AW8" s="76"/>
    </row>
    <row r="9" spans="1:49" ht="18" customHeight="1" thickTop="1">
      <c r="A9" s="8" t="s">
        <v>229</v>
      </c>
      <c r="B9" s="744"/>
      <c r="C9" s="216">
        <v>5</v>
      </c>
      <c r="D9" s="286">
        <f>INDEX(Table!I:I,MATCH($A9,Table!$B:$B,0))</f>
        <v>-12.149350649350648</v>
      </c>
      <c r="E9" s="135">
        <f>INDEX(Table!J:J,MATCH($A9,Table!$B:$B,0))</f>
        <v>10</v>
      </c>
      <c r="F9" s="136" t="str">
        <f>INDEX(Table!F:F,MATCH($A9,Table!$B:$B,0))</f>
        <v>Nick Blocksidge</v>
      </c>
      <c r="G9" s="286">
        <f>INDEX(Table!K:K,MATCH($A9,Table!$B:$B,0))</f>
        <v>-2.0909090909090899</v>
      </c>
      <c r="H9" s="135">
        <f>INDEX(Table!L:L,MATCH($A9,Table!$B:$B,0))</f>
        <v>2</v>
      </c>
      <c r="I9" s="525"/>
      <c r="J9" s="525">
        <v>5</v>
      </c>
      <c r="K9" s="769">
        <v>2.5</v>
      </c>
      <c r="L9" s="770" t="s">
        <v>348</v>
      </c>
      <c r="M9" s="771"/>
      <c r="N9" s="772">
        <f>INDEX(Weekly!A:A,MATCH($L9,Weekly!$E:$E,0))</f>
        <v>8</v>
      </c>
      <c r="O9" s="773" t="str">
        <f>INDEX(Weekly!D:D,MATCH($L9,Weekly!$E:$E,0))</f>
        <v>B</v>
      </c>
      <c r="P9" s="773">
        <f>INDEX(Table!D:D,MATCH($L9,Table!$F:$F,0))</f>
        <v>4</v>
      </c>
      <c r="Q9" s="774">
        <f>INDEX(Weekly!F:F,MATCH($L9,Weekly!$E:$E,0))</f>
        <v>0.77499999999999858</v>
      </c>
      <c r="R9" s="775">
        <f>INDEX(Weekly!I:I,MATCH($L9,Weekly!$E:$E,0))</f>
        <v>2</v>
      </c>
      <c r="S9" s="776">
        <f>INDEX(Weekly!H:H,MATCH($L9,Weekly!$E:$E,0))</f>
        <v>9.6000000000000014</v>
      </c>
      <c r="T9" s="76"/>
      <c r="U9" s="76">
        <v>5</v>
      </c>
      <c r="V9" s="76"/>
      <c r="W9" s="76"/>
      <c r="X9" s="76"/>
      <c r="Y9" s="76"/>
      <c r="Z9" s="76"/>
      <c r="AA9" s="380" t="s">
        <v>229</v>
      </c>
      <c r="AB9" s="383" t="str">
        <f>INDEX(Table!F:F,MATCH(AA9,Table!$B:$B,0))</f>
        <v>Nick Blocksidge</v>
      </c>
      <c r="AC9" s="384">
        <f>INDEX(Table!I:I,MATCH(AA9,Table!$B:$B,0))</f>
        <v>-12.149350649350648</v>
      </c>
      <c r="AD9" s="385" t="s">
        <v>234</v>
      </c>
      <c r="AE9" s="418" t="str">
        <f>INDEX(Table!$F:$F,MATCH(AD9,Table!$B:$B,0))</f>
        <v>Mark Saunders</v>
      </c>
      <c r="AF9" s="384">
        <f>INDEX(Table!$I:$I,MATCH(AD9,Table!$B:$B,0))</f>
        <v>-9.7723214285714306</v>
      </c>
      <c r="AG9" s="385" t="s">
        <v>239</v>
      </c>
      <c r="AH9" s="418" t="str">
        <f>INDEX(Table!$F:$F,MATCH(AG9,Table!$B:$B,0))</f>
        <v>Alex Griffin</v>
      </c>
      <c r="AI9" s="384">
        <f>INDEX(Table!$I:$I,MATCH(AG9,Table!$B:$B,0))</f>
        <v>-9.3671900826446262</v>
      </c>
      <c r="AJ9" s="385" t="s">
        <v>241</v>
      </c>
      <c r="AK9" s="418" t="e">
        <f>INDEX(Table!$F:$F,MATCH(AJ9,Table!$B:$B,0))</f>
        <v>#N/A</v>
      </c>
      <c r="AL9" s="384" t="e">
        <f>INDEX(Table!$I:$I,MATCH(AJ9,Table!$B:$B,0))</f>
        <v>#N/A</v>
      </c>
      <c r="AM9" s="76"/>
      <c r="AN9" s="550" t="str">
        <f t="shared" si="3"/>
        <v>Nick Blocksidge</v>
      </c>
      <c r="AO9" s="550" t="str">
        <f t="shared" si="0"/>
        <v>Mark Saunders</v>
      </c>
      <c r="AP9" s="550" t="str">
        <f t="shared" si="1"/>
        <v>Alex Griffin</v>
      </c>
      <c r="AQ9" s="550" t="e">
        <f t="shared" si="2"/>
        <v>#N/A</v>
      </c>
      <c r="AR9" s="76"/>
      <c r="AS9" s="76"/>
      <c r="AT9" s="76"/>
      <c r="AU9" s="76"/>
      <c r="AV9" s="76"/>
      <c r="AW9" s="76"/>
    </row>
    <row r="10" spans="1:49" ht="18" customHeight="1" thickBot="1">
      <c r="A10" s="8" t="s">
        <v>300</v>
      </c>
      <c r="B10" s="745"/>
      <c r="C10" s="216">
        <v>6</v>
      </c>
      <c r="D10" s="290">
        <f>INDEX(Table!I:I,MATCH($A10,Table!$B:$B,0))</f>
        <v>-14.09</v>
      </c>
      <c r="E10" s="291">
        <f>INDEX(Table!J:J,MATCH($A10,Table!$B:$B,0))</f>
        <v>6</v>
      </c>
      <c r="F10" s="292" t="str">
        <f>INDEX(Table!F:F,MATCH($A10,Table!$B:$B,0))</f>
        <v>Alan Rogers</v>
      </c>
      <c r="G10" s="290">
        <f>INDEX(Table!K:K,MATCH($A10,Table!$B:$B,0))</f>
        <v>9.16</v>
      </c>
      <c r="H10" s="291">
        <f>INDEX(Table!L:L,MATCH($A10,Table!$B:$B,0))</f>
        <v>2</v>
      </c>
      <c r="I10" s="525"/>
      <c r="J10" s="525">
        <v>6</v>
      </c>
      <c r="K10" s="217"/>
      <c r="L10" s="723" t="str">
        <f>INDEX(Weekly!E:E,MATCH($J10,Weekly!$B:$B,0))</f>
        <v>Alan Rogers</v>
      </c>
      <c r="M10" s="724"/>
      <c r="N10" s="475">
        <f>INDEX(Weekly!A:A,MATCH($L10,Weekly!$E:$E,0))</f>
        <v>19</v>
      </c>
      <c r="O10" s="570" t="str">
        <f>INDEX(Weekly!D:D,MATCH($L10,Weekly!$E:$E,0))</f>
        <v>A</v>
      </c>
      <c r="P10" s="570">
        <f>INDEX(Table!D:D,MATCH($L10,Table!$F:$F,0))</f>
        <v>6</v>
      </c>
      <c r="Q10" s="478">
        <f>INDEX(Weekly!F:F,MATCH($L10,Weekly!$E:$E,0))</f>
        <v>-14.09</v>
      </c>
      <c r="R10" s="483">
        <f>INDEX(Weekly!I:I,MATCH($L10,Weekly!$E:$E,0))</f>
        <v>2</v>
      </c>
      <c r="S10" s="342">
        <f>INDEX(Weekly!H:H,MATCH($L10,Weekly!$E:$E,0))</f>
        <v>9.16</v>
      </c>
      <c r="T10" s="76"/>
      <c r="U10" s="76">
        <v>6</v>
      </c>
      <c r="V10" s="76"/>
      <c r="W10" s="76"/>
      <c r="X10" s="76"/>
      <c r="Y10" s="76"/>
      <c r="Z10" s="76"/>
      <c r="AA10" s="381" t="s">
        <v>300</v>
      </c>
      <c r="AB10" s="386" t="str">
        <f>INDEX(Table!F:F,MATCH(AA10,Table!$B:$B,0))</f>
        <v>Alan Rogers</v>
      </c>
      <c r="AC10" s="387">
        <f>INDEX(Table!I:I,MATCH(AA10,Table!$B:$B,0))</f>
        <v>-14.09</v>
      </c>
      <c r="AD10" s="388" t="s">
        <v>301</v>
      </c>
      <c r="AE10" s="419" t="str">
        <f>INDEX(Table!$F:$F,MATCH(AD10,Table!$B:$B,0))</f>
        <v>Vinny Topping</v>
      </c>
      <c r="AF10" s="387">
        <f>INDEX(Table!$I:$I,MATCH(AD10,Table!$B:$B,0))</f>
        <v>-11.387727272727272</v>
      </c>
      <c r="AG10" s="388" t="s">
        <v>302</v>
      </c>
      <c r="AH10" s="419" t="str">
        <f>INDEX(Table!$F:$F,MATCH(AG10,Table!$B:$B,0))</f>
        <v>Alan Bond</v>
      </c>
      <c r="AI10" s="387">
        <f>INDEX(Table!$I:$I,MATCH(AG10,Table!$B:$B,0))</f>
        <v>-10.729999999999995</v>
      </c>
      <c r="AJ10" s="388" t="s">
        <v>303</v>
      </c>
      <c r="AK10" s="419" t="e">
        <f>INDEX(Table!$F:$F,MATCH(AJ10,Table!$B:$B,0))</f>
        <v>#N/A</v>
      </c>
      <c r="AL10" s="387" t="e">
        <f>INDEX(Table!$I:$I,MATCH(AJ10,Table!$B:$B,0))</f>
        <v>#N/A</v>
      </c>
      <c r="AM10" s="76"/>
      <c r="AN10" s="550" t="str">
        <f t="shared" si="3"/>
        <v>Alan Rogers</v>
      </c>
      <c r="AO10" s="550" t="str">
        <f t="shared" si="0"/>
        <v>Vinny Topping</v>
      </c>
      <c r="AP10" s="550" t="str">
        <f t="shared" si="1"/>
        <v>Alan Bond</v>
      </c>
      <c r="AQ10" s="550" t="e">
        <f t="shared" si="2"/>
        <v>#N/A</v>
      </c>
      <c r="AR10" s="76"/>
      <c r="AS10" s="76"/>
      <c r="AT10" s="76"/>
      <c r="AU10" s="76"/>
      <c r="AV10" s="76"/>
      <c r="AW10" s="76"/>
    </row>
    <row r="11" spans="1:49" ht="18" customHeight="1" thickTop="1">
      <c r="A11" s="8" t="s">
        <v>230</v>
      </c>
      <c r="B11" s="743" t="s">
        <v>214</v>
      </c>
      <c r="C11" s="216">
        <v>1</v>
      </c>
      <c r="D11" s="287">
        <f>INDEX(Table!I:I,MATCH($A11,Table!$B:$B,0))</f>
        <v>36.950000000000003</v>
      </c>
      <c r="E11" s="288">
        <f>INDEX(Table!J:J,MATCH($A11,Table!$B:$B,0))</f>
        <v>11</v>
      </c>
      <c r="F11" s="289" t="str">
        <f>INDEX(Table!F:F,MATCH($A11,Table!$B:$B,0))</f>
        <v>Paul Fairhurst</v>
      </c>
      <c r="G11" s="287">
        <f>INDEX(Table!K:K,MATCH($A11,Table!$B:$B,0))</f>
        <v>16.990000000000002</v>
      </c>
      <c r="H11" s="288">
        <f>INDEX(Table!L:L,MATCH($A11,Table!$B:$B,0))</f>
        <v>3</v>
      </c>
      <c r="I11" s="525"/>
      <c r="J11" s="525">
        <v>7</v>
      </c>
      <c r="K11" s="217"/>
      <c r="L11" s="723" t="str">
        <f>INDEX(Weekly!E:E,MATCH($J11,Weekly!$B:$B,0))</f>
        <v>Dave Bell</v>
      </c>
      <c r="M11" s="724"/>
      <c r="N11" s="475">
        <f>INDEX(Weekly!A:A,MATCH($L11,Weekly!$E:$E,0))</f>
        <v>30</v>
      </c>
      <c r="O11" s="570" t="str">
        <f>INDEX(Weekly!D:D,MATCH($L11,Weekly!$E:$E,0))</f>
        <v>B</v>
      </c>
      <c r="P11" s="570">
        <f>INDEX(Table!D:D,MATCH($L11,Table!$F:$F,0))</f>
        <v>11</v>
      </c>
      <c r="Q11" s="478">
        <f>INDEX(Weekly!F:F,MATCH($L11,Weekly!$E:$E,0))</f>
        <v>-17.649999999999999</v>
      </c>
      <c r="R11" s="483">
        <f>INDEX(Weekly!I:I,MATCH($L11,Weekly!$E:$E,0))</f>
        <v>2</v>
      </c>
      <c r="S11" s="342">
        <f>INDEX(Weekly!H:H,MATCH($L11,Weekly!$E:$E,0))</f>
        <v>6.35</v>
      </c>
      <c r="T11" s="76"/>
      <c r="U11" s="76">
        <v>7</v>
      </c>
      <c r="V11" s="76"/>
      <c r="W11" s="76"/>
      <c r="X11" s="76"/>
      <c r="Y11" s="76"/>
      <c r="Z11" s="76"/>
      <c r="AA11" s="382" t="s">
        <v>359</v>
      </c>
      <c r="AB11" s="389" t="str">
        <f>INDEX(Table!F:F,MATCH(AA11,Table!$B:$B,0))</f>
        <v>Steve Carter</v>
      </c>
      <c r="AC11" s="391">
        <f>INDEX(Table!I:I,MATCH(AA11,Table!$B:$B,0))</f>
        <v>-15.678888888888888</v>
      </c>
      <c r="AD11" s="392" t="s">
        <v>368</v>
      </c>
      <c r="AE11" s="438" t="str">
        <f>INDEX(Table!$F:$F,MATCH(AD11,Table!$B:$B,0))</f>
        <v>Tom Robinson</v>
      </c>
      <c r="AF11" s="428">
        <f>INDEX(Table!$I:$I,MATCH(AD11,Table!$B:$B,0))</f>
        <v>-14.828409090909091</v>
      </c>
      <c r="AG11" s="429" t="s">
        <v>378</v>
      </c>
      <c r="AH11" s="442" t="str">
        <f>INDEX(Table!$F:$F,MATCH(AG11,Table!$B:$B,0))</f>
        <v>Julie Dodd</v>
      </c>
      <c r="AI11" s="428">
        <f>INDEX(Table!$I:$I,MATCH(AG11,Table!$B:$B,0))</f>
        <v>-12.266477272727276</v>
      </c>
      <c r="AJ11" s="429" t="s">
        <v>388</v>
      </c>
      <c r="AK11" s="445" t="e">
        <f>INDEX(Table!$F:$F,MATCH(AJ11,Table!$B:$B,0))</f>
        <v>#N/A</v>
      </c>
      <c r="AL11" s="391" t="e">
        <f>INDEX(Table!$I:$I,MATCH(AJ11,Table!$B:$B,0))</f>
        <v>#N/A</v>
      </c>
      <c r="AM11" s="76"/>
      <c r="AN11" s="550" t="str">
        <f t="shared" si="3"/>
        <v>Steve Carter</v>
      </c>
      <c r="AO11" s="550" t="str">
        <f t="shared" si="0"/>
        <v>Tom Robinson</v>
      </c>
      <c r="AP11" s="550" t="str">
        <f t="shared" si="1"/>
        <v>Julie Dodd</v>
      </c>
      <c r="AQ11" s="550" t="e">
        <f t="shared" si="2"/>
        <v>#N/A</v>
      </c>
      <c r="AR11" s="76"/>
      <c r="AS11" s="76"/>
      <c r="AT11" s="76"/>
      <c r="AU11" s="76"/>
      <c r="AV11" s="76"/>
      <c r="AW11" s="76"/>
    </row>
    <row r="12" spans="1:49" ht="18" customHeight="1">
      <c r="A12" s="8" t="s">
        <v>231</v>
      </c>
      <c r="B12" s="744"/>
      <c r="C12" s="216">
        <v>2</v>
      </c>
      <c r="D12" s="286">
        <f>INDEX(Table!I:I,MATCH($A12,Table!$B:$B,0))</f>
        <v>22.785085914085911</v>
      </c>
      <c r="E12" s="135">
        <f>INDEX(Table!J:J,MATCH($A12,Table!$B:$B,0))</f>
        <v>10</v>
      </c>
      <c r="F12" s="136" t="str">
        <f>INDEX(Table!F:F,MATCH($A12,Table!$B:$B,0))</f>
        <v>Phil Miller</v>
      </c>
      <c r="G12" s="286">
        <f>INDEX(Table!K:K,MATCH($A12,Table!$B:$B,0))</f>
        <v>-1.4000000000000004</v>
      </c>
      <c r="H12" s="135">
        <f>INDEX(Table!L:L,MATCH($A12,Table!$B:$B,0))</f>
        <v>2</v>
      </c>
      <c r="I12" s="525"/>
      <c r="J12" s="525">
        <v>8</v>
      </c>
      <c r="K12" s="217"/>
      <c r="L12" s="723" t="str">
        <f>INDEX(Weekly!E:E,MATCH($J12,Weekly!$B:$B,0))</f>
        <v>Ben Rosser</v>
      </c>
      <c r="M12" s="724"/>
      <c r="N12" s="475">
        <f>INDEX(Weekly!A:A,MATCH($L12,Weekly!$E:$E,0))</f>
        <v>22</v>
      </c>
      <c r="O12" s="570" t="str">
        <f>INDEX(Weekly!D:D,MATCH($L12,Weekly!$E:$E,0))</f>
        <v>B</v>
      </c>
      <c r="P12" s="570">
        <f>INDEX(Table!D:D,MATCH($L12,Table!$F:$F,0))</f>
        <v>8</v>
      </c>
      <c r="Q12" s="478">
        <f>INDEX(Weekly!F:F,MATCH($L12,Weekly!$E:$E,0))</f>
        <v>-15.609999999999998</v>
      </c>
      <c r="R12" s="483">
        <f>INDEX(Weekly!I:I,MATCH($L12,Weekly!$E:$E,0))</f>
        <v>2</v>
      </c>
      <c r="S12" s="342">
        <f>INDEX(Weekly!H:H,MATCH($L12,Weekly!$E:$E,0))</f>
        <v>5.9399999999999995</v>
      </c>
      <c r="T12" s="76"/>
      <c r="U12" s="76">
        <v>8</v>
      </c>
      <c r="V12" s="76"/>
      <c r="W12" s="76"/>
      <c r="X12" s="76"/>
      <c r="Y12" s="76"/>
      <c r="Z12" s="76"/>
      <c r="AA12" s="380" t="s">
        <v>360</v>
      </c>
      <c r="AB12" s="390" t="str">
        <f>INDEX(Table!F:F,MATCH(AA12,Table!$B:$B,0))</f>
        <v>Kevin Carter</v>
      </c>
      <c r="AC12" s="394">
        <f>INDEX(Table!I:I,MATCH(AA12,Table!$B:$B,0))</f>
        <v>-16.982063492063489</v>
      </c>
      <c r="AD12" s="395" t="s">
        <v>369</v>
      </c>
      <c r="AE12" s="439" t="str">
        <f>INDEX(Table!$F:$F,MATCH(AD12,Table!$B:$B,0))</f>
        <v>Ben Rosser</v>
      </c>
      <c r="AF12" s="431">
        <f>INDEX(Table!$I:$I,MATCH(AD12,Table!$B:$B,0))</f>
        <v>-15.609999999999998</v>
      </c>
      <c r="AG12" s="432" t="s">
        <v>379</v>
      </c>
      <c r="AH12" s="440" t="str">
        <f>INDEX(Table!$F:$F,MATCH(AG12,Table!$B:$B,0))</f>
        <v>Naaman Boyd</v>
      </c>
      <c r="AI12" s="431">
        <f>INDEX(Table!$I:$I,MATCH(AG12,Table!$B:$B,0))</f>
        <v>-15.487619047619049</v>
      </c>
      <c r="AJ12" s="432" t="s">
        <v>389</v>
      </c>
      <c r="AK12" s="443" t="e">
        <f>INDEX(Table!$F:$F,MATCH(AJ12,Table!$B:$B,0))</f>
        <v>#N/A</v>
      </c>
      <c r="AL12" s="394" t="e">
        <f>INDEX(Table!$I:$I,MATCH(AJ12,Table!$B:$B,0))</f>
        <v>#N/A</v>
      </c>
      <c r="AM12" s="76"/>
      <c r="AN12" s="550" t="str">
        <f t="shared" si="3"/>
        <v>Kevin Carter</v>
      </c>
      <c r="AO12" s="550" t="str">
        <f t="shared" si="0"/>
        <v>Ben Rosser</v>
      </c>
      <c r="AP12" s="550" t="str">
        <f t="shared" si="1"/>
        <v>Naaman Boyd</v>
      </c>
      <c r="AQ12" s="550" t="e">
        <f t="shared" si="2"/>
        <v>#N/A</v>
      </c>
      <c r="AR12" s="76"/>
      <c r="AS12" s="76"/>
      <c r="AT12" s="76"/>
      <c r="AU12" s="76"/>
      <c r="AV12" s="76"/>
      <c r="AW12" s="76"/>
    </row>
    <row r="13" spans="1:49" ht="18" customHeight="1">
      <c r="A13" s="8" t="s">
        <v>232</v>
      </c>
      <c r="B13" s="744"/>
      <c r="C13" s="216">
        <v>3</v>
      </c>
      <c r="D13" s="286">
        <f>INDEX(Table!I:I,MATCH($A13,Table!$B:$B,0))</f>
        <v>6.2209090909090916</v>
      </c>
      <c r="E13" s="135">
        <f>INDEX(Table!J:J,MATCH($A13,Table!$B:$B,0))</f>
        <v>10</v>
      </c>
      <c r="F13" s="136" t="str">
        <f>INDEX(Table!F:F,MATCH($A13,Table!$B:$B,0))</f>
        <v>Frank Allen</v>
      </c>
      <c r="G13" s="286">
        <f>INDEX(Table!K:K,MATCH($A13,Table!$B:$B,0))</f>
        <v>0.59090909090909083</v>
      </c>
      <c r="H13" s="135">
        <f>INDEX(Table!L:L,MATCH($A13,Table!$B:$B,0))</f>
        <v>2</v>
      </c>
      <c r="I13" s="525"/>
      <c r="J13" s="525">
        <v>9</v>
      </c>
      <c r="K13" s="217"/>
      <c r="L13" s="723" t="str">
        <f>INDEX(Weekly!E:E,MATCH($J13,Weekly!$B:$B,0))</f>
        <v>Steve Carter</v>
      </c>
      <c r="M13" s="724"/>
      <c r="N13" s="475">
        <f>INDEX(Weekly!A:A,MATCH($L13,Weekly!$E:$E,0))</f>
        <v>24</v>
      </c>
      <c r="O13" s="570" t="str">
        <f>INDEX(Weekly!D:D,MATCH($L13,Weekly!$E:$E,0))</f>
        <v>A</v>
      </c>
      <c r="P13" s="570">
        <f>INDEX(Table!D:D,MATCH($L13,Table!$F:$F,0))</f>
        <v>7</v>
      </c>
      <c r="Q13" s="478">
        <f>INDEX(Weekly!F:F,MATCH($L13,Weekly!$E:$E,0))</f>
        <v>-15.678888888888888</v>
      </c>
      <c r="R13" s="483">
        <f>INDEX(Weekly!I:I,MATCH($L13,Weekly!$E:$E,0))</f>
        <v>2</v>
      </c>
      <c r="S13" s="342">
        <f>INDEX(Weekly!H:H,MATCH($L13,Weekly!$E:$E,0))</f>
        <v>2.7100000000000009</v>
      </c>
      <c r="T13" s="76"/>
      <c r="U13" s="76">
        <v>9</v>
      </c>
      <c r="V13" s="76"/>
      <c r="W13" s="76"/>
      <c r="X13" s="76"/>
      <c r="Y13" s="76"/>
      <c r="Z13" s="76"/>
      <c r="AA13" s="380" t="s">
        <v>395</v>
      </c>
      <c r="AB13" s="436" t="str">
        <f>INDEX(Table!F:F,MATCH(AA13,Table!$B:$B,0))</f>
        <v>Mike Penk</v>
      </c>
      <c r="AC13" s="431">
        <f>INDEX(Table!I:I,MATCH(AA13,Table!$B:$B,0))</f>
        <v>-18.336363636363636</v>
      </c>
      <c r="AD13" s="432" t="s">
        <v>370</v>
      </c>
      <c r="AE13" s="440" t="str">
        <f>INDEX(Table!$F:$F,MATCH(AD13,Table!$B:$B,0))</f>
        <v>Jack Walsh</v>
      </c>
      <c r="AF13" s="431">
        <f>INDEX(Table!$I:$I,MATCH(AD13,Table!$B:$B,0))</f>
        <v>-15.649090909090908</v>
      </c>
      <c r="AG13" s="432" t="s">
        <v>380</v>
      </c>
      <c r="AH13" s="443" t="str">
        <f>INDEX(Table!$F:$F,MATCH(AG13,Table!$B:$B,0))</f>
        <v>Paul Adderley</v>
      </c>
      <c r="AI13" s="431">
        <f>INDEX(Table!$I:$I,MATCH(AG13,Table!$B:$B,0))</f>
        <v>-16.026616161616161</v>
      </c>
      <c r="AJ13" s="432" t="s">
        <v>390</v>
      </c>
      <c r="AK13" s="430" t="e">
        <f>INDEX(Table!$F:$F,MATCH(AJ13,Table!$B:$B,0))</f>
        <v>#N/A</v>
      </c>
      <c r="AL13" s="431" t="e">
        <f>INDEX(Table!$I:$I,MATCH(AJ13,Table!$B:$B,0))</f>
        <v>#N/A</v>
      </c>
      <c r="AM13" s="76"/>
      <c r="AN13" s="550" t="str">
        <f t="shared" si="3"/>
        <v>Mike Penk</v>
      </c>
      <c r="AO13" s="550" t="str">
        <f t="shared" si="0"/>
        <v>Jack Walsh</v>
      </c>
      <c r="AP13" s="550" t="str">
        <f t="shared" si="1"/>
        <v>Paul Adderley</v>
      </c>
      <c r="AQ13" s="550" t="e">
        <f t="shared" si="2"/>
        <v>#N/A</v>
      </c>
      <c r="AR13" s="76"/>
      <c r="AS13" s="76"/>
      <c r="AT13" s="76"/>
      <c r="AU13" s="76"/>
      <c r="AV13" s="76"/>
      <c r="AW13" s="76"/>
    </row>
    <row r="14" spans="1:49" ht="18" customHeight="1" thickBot="1">
      <c r="A14" s="8" t="s">
        <v>233</v>
      </c>
      <c r="B14" s="744"/>
      <c r="C14" s="216">
        <v>4</v>
      </c>
      <c r="D14" s="286">
        <f>INDEX(Table!I:I,MATCH($A14,Table!$B:$B,0))</f>
        <v>0.77499999999999858</v>
      </c>
      <c r="E14" s="135">
        <f>INDEX(Table!J:J,MATCH($A14,Table!$B:$B,0))</f>
        <v>6</v>
      </c>
      <c r="F14" s="136" t="str">
        <f>INDEX(Table!F:F,MATCH($A14,Table!$B:$B,0))</f>
        <v>Gerard Ventom</v>
      </c>
      <c r="G14" s="286">
        <f>INDEX(Table!K:K,MATCH($A14,Table!$B:$B,0))</f>
        <v>9.6000000000000014</v>
      </c>
      <c r="H14" s="135">
        <f>INDEX(Table!L:L,MATCH($A14,Table!$B:$B,0))</f>
        <v>2</v>
      </c>
      <c r="I14" s="525"/>
      <c r="J14" s="525">
        <v>10</v>
      </c>
      <c r="K14" s="217"/>
      <c r="L14" s="723" t="s">
        <v>534</v>
      </c>
      <c r="M14" s="724"/>
      <c r="N14" s="475">
        <f>INDEX(Weekly!A:A,MATCH($L14,Weekly!$E:$E,0))</f>
        <v>36</v>
      </c>
      <c r="O14" s="570" t="str">
        <f>INDEX(Weekly!D:D,MATCH($L14,Weekly!$E:$E,0))</f>
        <v>C</v>
      </c>
      <c r="P14" s="570">
        <f>INDEX(Table!D:D,MATCH($L14,Table!$F:$F,0))</f>
        <v>14</v>
      </c>
      <c r="Q14" s="478">
        <f>INDEX(Weekly!F:F,MATCH($L14,Weekly!$E:$E,0))</f>
        <v>-23.989305139305142</v>
      </c>
      <c r="R14" s="483">
        <f>INDEX(Weekly!I:I,MATCH($L14,Weekly!$E:$E,0))</f>
        <v>1</v>
      </c>
      <c r="S14" s="342">
        <f>INDEX(Weekly!H:H,MATCH($L14,Weekly!$E:$E,0))</f>
        <v>-4.8</v>
      </c>
      <c r="T14" s="76"/>
      <c r="U14" s="76">
        <v>10</v>
      </c>
      <c r="V14" s="76"/>
      <c r="W14" s="76"/>
      <c r="X14" s="76"/>
      <c r="Y14" s="76"/>
      <c r="Z14" s="76"/>
      <c r="AA14" s="381" t="s">
        <v>361</v>
      </c>
      <c r="AB14" s="437" t="str">
        <f>INDEX(Table!F:F,MATCH(AA14,Table!$B:$B,0))</f>
        <v>Lennie Bow</v>
      </c>
      <c r="AC14" s="433">
        <f>INDEX(Table!I:I,MATCH(AA14,Table!$B:$B,0))</f>
        <v>-20.414797323888234</v>
      </c>
      <c r="AD14" s="434" t="s">
        <v>371</v>
      </c>
      <c r="AE14" s="441" t="str">
        <f>INDEX(Table!$F:$F,MATCH(AD14,Table!$B:$B,0))</f>
        <v>Stephen Barr</v>
      </c>
      <c r="AF14" s="433">
        <f>INDEX(Table!$I:$I,MATCH(AD14,Table!$B:$B,0))</f>
        <v>-15.702727272727273</v>
      </c>
      <c r="AG14" s="434" t="s">
        <v>381</v>
      </c>
      <c r="AH14" s="444" t="str">
        <f>INDEX(Table!$F:$F,MATCH(AG14,Table!$B:$B,0))</f>
        <v>Steven Naylor</v>
      </c>
      <c r="AI14" s="433">
        <f>INDEX(Table!$I:$I,MATCH(AG14,Table!$B:$B,0))</f>
        <v>-16.119318181818183</v>
      </c>
      <c r="AJ14" s="434" t="s">
        <v>391</v>
      </c>
      <c r="AK14" s="435" t="e">
        <f>INDEX(Table!$F:$F,MATCH(AJ14,Table!$B:$B,0))</f>
        <v>#N/A</v>
      </c>
      <c r="AL14" s="433" t="e">
        <f>INDEX(Table!$I:$I,MATCH(AJ14,Table!$B:$B,0))</f>
        <v>#N/A</v>
      </c>
      <c r="AM14" s="76"/>
      <c r="AN14" s="550" t="str">
        <f t="shared" si="3"/>
        <v>Lennie Bow</v>
      </c>
      <c r="AO14" s="550" t="str">
        <f t="shared" si="0"/>
        <v>Stephen Barr</v>
      </c>
      <c r="AP14" s="550" t="str">
        <f t="shared" si="1"/>
        <v>Steven Naylor</v>
      </c>
      <c r="AQ14" s="550" t="e">
        <f t="shared" si="2"/>
        <v>#N/A</v>
      </c>
      <c r="AR14" s="76"/>
      <c r="AS14" s="76"/>
      <c r="AT14" s="76"/>
      <c r="AU14" s="76"/>
      <c r="AV14" s="76"/>
      <c r="AW14" s="76"/>
    </row>
    <row r="15" spans="1:49" ht="18" customHeight="1" thickTop="1">
      <c r="A15" s="8" t="s">
        <v>234</v>
      </c>
      <c r="B15" s="744"/>
      <c r="C15" s="216">
        <v>5</v>
      </c>
      <c r="D15" s="286">
        <f>INDEX(Table!I:I,MATCH($A15,Table!$B:$B,0))</f>
        <v>-9.7723214285714306</v>
      </c>
      <c r="E15" s="135">
        <f>INDEX(Table!J:J,MATCH($A15,Table!$B:$B,0))</f>
        <v>7</v>
      </c>
      <c r="F15" s="136" t="str">
        <f>INDEX(Table!F:F,MATCH($A15,Table!$B:$B,0))</f>
        <v>Mark Saunders</v>
      </c>
      <c r="G15" s="286">
        <f>INDEX(Table!K:K,MATCH($A15,Table!$B:$B,0))</f>
        <v>14.65625</v>
      </c>
      <c r="H15" s="135">
        <f>INDEX(Table!L:L,MATCH($A15,Table!$B:$B,0))</f>
        <v>3</v>
      </c>
      <c r="I15" s="525"/>
      <c r="J15" s="525">
        <v>11</v>
      </c>
      <c r="K15" s="217"/>
      <c r="L15" s="723" t="str">
        <f>INDEX(Weekly!E:E,MATCH($J15,Weekly!$B:$B,0))</f>
        <v>Frank Allen</v>
      </c>
      <c r="M15" s="724"/>
      <c r="N15" s="475">
        <f>INDEX(Weekly!A:A,MATCH($L15,Weekly!$E:$E,0))</f>
        <v>5</v>
      </c>
      <c r="O15" s="570" t="str">
        <f>INDEX(Weekly!D:D,MATCH($L15,Weekly!$E:$E,0))</f>
        <v>B</v>
      </c>
      <c r="P15" s="570">
        <f>INDEX(Table!D:D,MATCH($L15,Table!$F:$F,0))</f>
        <v>3</v>
      </c>
      <c r="Q15" s="478">
        <f>INDEX(Weekly!F:F,MATCH($L15,Weekly!$E:$E,0))</f>
        <v>6.2209090909090916</v>
      </c>
      <c r="R15" s="483">
        <f>INDEX(Weekly!I:I,MATCH($L15,Weekly!$E:$E,0))</f>
        <v>2</v>
      </c>
      <c r="S15" s="342">
        <f>INDEX(Weekly!H:H,MATCH($L15,Weekly!$E:$E,0))</f>
        <v>0.59090909090909083</v>
      </c>
      <c r="T15" s="76"/>
      <c r="U15" s="76">
        <v>11</v>
      </c>
      <c r="V15" s="76"/>
      <c r="W15" s="76"/>
      <c r="X15" s="76"/>
      <c r="Y15" s="76"/>
      <c r="Z15" s="76"/>
      <c r="AA15" s="382" t="s">
        <v>362</v>
      </c>
      <c r="AB15" s="422" t="str">
        <f>INDEX(Table!F:F,MATCH(AA15,Table!$B:$B,0))</f>
        <v>Barry Birchall</v>
      </c>
      <c r="AC15" s="391">
        <f>INDEX(Table!I:I,MATCH(AA15,Table!$B:$B,0))</f>
        <v>-25.903181818181814</v>
      </c>
      <c r="AD15" s="392" t="s">
        <v>372</v>
      </c>
      <c r="AE15" s="420" t="str">
        <f>INDEX(Table!$F:$F,MATCH(AD15,Table!$B:$B,0))</f>
        <v>Dave Bell</v>
      </c>
      <c r="AF15" s="391">
        <f>INDEX(Table!$I:$I,MATCH(AD15,Table!$B:$B,0))</f>
        <v>-17.649999999999999</v>
      </c>
      <c r="AG15" s="392" t="s">
        <v>382</v>
      </c>
      <c r="AH15" s="693" t="str">
        <f>INDEX(Table!$F:$F,MATCH(AG15,Table!$B:$B,0))</f>
        <v>David Dunn</v>
      </c>
      <c r="AI15" s="391">
        <f>INDEX(Table!$I:$I,MATCH(AG15,Table!$B:$B,0))</f>
        <v>-17.364545454545457</v>
      </c>
      <c r="AJ15" s="392" t="s">
        <v>392</v>
      </c>
      <c r="AK15" s="393" t="e">
        <f>INDEX(Table!$F:$F,MATCH(AJ15,Table!$B:$B,0))</f>
        <v>#N/A</v>
      </c>
      <c r="AL15" s="391" t="e">
        <f>INDEX(Table!$I:$I,MATCH(AJ15,Table!$B:$B,0))</f>
        <v>#N/A</v>
      </c>
      <c r="AM15" s="76"/>
      <c r="AN15" s="550" t="str">
        <f t="shared" si="3"/>
        <v>Barry Birchall</v>
      </c>
      <c r="AO15" s="550" t="str">
        <f t="shared" si="0"/>
        <v>Dave Bell</v>
      </c>
      <c r="AP15" s="550" t="str">
        <f t="shared" si="1"/>
        <v>David Dunn</v>
      </c>
      <c r="AQ15" s="550" t="e">
        <f t="shared" si="2"/>
        <v>#N/A</v>
      </c>
      <c r="AR15" s="76"/>
      <c r="AS15" s="76"/>
      <c r="AT15" s="76"/>
      <c r="AU15" s="76"/>
      <c r="AV15" s="76"/>
      <c r="AW15" s="76"/>
    </row>
    <row r="16" spans="1:49" ht="18" customHeight="1" thickBot="1">
      <c r="A16" s="8" t="s">
        <v>301</v>
      </c>
      <c r="B16" s="745"/>
      <c r="C16" s="216">
        <v>6</v>
      </c>
      <c r="D16" s="290">
        <f>INDEX(Table!I:I,MATCH($A16,Table!$B:$B,0))</f>
        <v>-11.387727272727272</v>
      </c>
      <c r="E16" s="291">
        <f>INDEX(Table!J:J,MATCH($A16,Table!$B:$B,0))</f>
        <v>7</v>
      </c>
      <c r="F16" s="292" t="str">
        <f>INDEX(Table!F:F,MATCH($A16,Table!$B:$B,0))</f>
        <v>Vinny Topping</v>
      </c>
      <c r="G16" s="290">
        <f>INDEX(Table!K:K,MATCH($A16,Table!$B:$B,0))</f>
        <v>-5.2727272727272725</v>
      </c>
      <c r="H16" s="291">
        <f>INDEX(Table!L:L,MATCH($A16,Table!$B:$B,0))</f>
        <v>1</v>
      </c>
      <c r="I16" s="525"/>
      <c r="J16" s="525">
        <v>12</v>
      </c>
      <c r="K16" s="217"/>
      <c r="L16" s="723" t="str">
        <f>INDEX(Weekly!E:E,MATCH($J16,Weekly!$B:$B,0))</f>
        <v>David Dunn</v>
      </c>
      <c r="M16" s="724"/>
      <c r="N16" s="477">
        <f>INDEX(Weekly!A:A,MATCH($L16,Weekly!$E:$E,0))</f>
        <v>29</v>
      </c>
      <c r="O16" s="572" t="str">
        <f>INDEX(Weekly!D:D,MATCH($L16,Weekly!$E:$E,0))</f>
        <v>C</v>
      </c>
      <c r="P16" s="572">
        <f>INDEX(Table!D:D,MATCH($L16,Table!$F:$F,0))</f>
        <v>11</v>
      </c>
      <c r="Q16" s="480">
        <f>INDEX(Weekly!F:F,MATCH($L16,Weekly!$E:$E,0))</f>
        <v>-17.364545454545457</v>
      </c>
      <c r="R16" s="484">
        <f>INDEX(Weekly!I:I,MATCH($L16,Weekly!$E:$E,0))</f>
        <v>2</v>
      </c>
      <c r="S16" s="342">
        <f>INDEX(Weekly!H:H,MATCH($L16,Weekly!$E:$E,0))</f>
        <v>-0.55454545454545467</v>
      </c>
      <c r="T16" s="446"/>
      <c r="U16" s="76">
        <v>12</v>
      </c>
      <c r="V16" s="76"/>
      <c r="W16" s="76"/>
      <c r="X16" s="76"/>
      <c r="Y16" s="76"/>
      <c r="Z16" s="76"/>
      <c r="AA16" s="380" t="s">
        <v>363</v>
      </c>
      <c r="AB16" s="423" t="str">
        <f>INDEX(Table!F:F,MATCH(AA16,Table!$B:$B,0))</f>
        <v>Simon Greenhalgh</v>
      </c>
      <c r="AC16" s="394">
        <f>INDEX(Table!I:I,MATCH(AA16,Table!$B:$B,0))</f>
        <v>-27.5</v>
      </c>
      <c r="AD16" s="395" t="s">
        <v>373</v>
      </c>
      <c r="AE16" s="421" t="str">
        <f>INDEX(Table!$F:$F,MATCH(AD16,Table!$B:$B,0))</f>
        <v>Chris Luck</v>
      </c>
      <c r="AF16" s="394">
        <f>INDEX(Table!$I:$I,MATCH(AD16,Table!$B:$B,0))</f>
        <v>-20.5</v>
      </c>
      <c r="AG16" s="395" t="s">
        <v>383</v>
      </c>
      <c r="AH16" s="694" t="str">
        <f>INDEX(Table!$F:$F,MATCH(AG16,Table!$B:$B,0))</f>
        <v>Martin Molyneux</v>
      </c>
      <c r="AI16" s="394">
        <f>INDEX(Table!$I:$I,MATCH(AG16,Table!$B:$B,0))</f>
        <v>-19.4025</v>
      </c>
      <c r="AJ16" s="395" t="s">
        <v>393</v>
      </c>
      <c r="AK16" s="396" t="e">
        <f>INDEX(Table!$F:$F,MATCH(AJ16,Table!$B:$B,0))</f>
        <v>#N/A</v>
      </c>
      <c r="AL16" s="394" t="e">
        <f>INDEX(Table!$I:$I,MATCH(AJ16,Table!$B:$B,0))</f>
        <v>#N/A</v>
      </c>
      <c r="AM16" s="76"/>
      <c r="AN16" s="550" t="str">
        <f t="shared" si="3"/>
        <v>Simon Greenhalgh</v>
      </c>
      <c r="AO16" s="550" t="str">
        <f t="shared" si="0"/>
        <v>Chris Luck</v>
      </c>
      <c r="AP16" s="550" t="str">
        <f t="shared" si="1"/>
        <v>Martin Molyneux</v>
      </c>
      <c r="AQ16" s="550" t="e">
        <f t="shared" si="2"/>
        <v>#N/A</v>
      </c>
      <c r="AR16" s="76"/>
      <c r="AS16" s="76"/>
      <c r="AT16" s="76"/>
      <c r="AU16" s="76"/>
      <c r="AV16" s="76"/>
      <c r="AW16" s="76"/>
    </row>
    <row r="17" spans="1:50" ht="18" customHeight="1" thickTop="1">
      <c r="A17" s="8" t="s">
        <v>235</v>
      </c>
      <c r="B17" s="743" t="s">
        <v>215</v>
      </c>
      <c r="C17" s="216">
        <v>1</v>
      </c>
      <c r="D17" s="287">
        <f>INDEX(Table!I:I,MATCH($A17,Table!$B:$B,0))</f>
        <v>32.941796085858584</v>
      </c>
      <c r="E17" s="288">
        <f>INDEX(Table!J:J,MATCH($A17,Table!$B:$B,0))</f>
        <v>12</v>
      </c>
      <c r="F17" s="289" t="str">
        <f>INDEX(Table!F:F,MATCH($A17,Table!$B:$B,0))</f>
        <v>Steve Waterhouse</v>
      </c>
      <c r="G17" s="287">
        <f>INDEX(Table!K:K,MATCH($A17,Table!$B:$B,0))</f>
        <v>-5.6363636363636367</v>
      </c>
      <c r="H17" s="288">
        <f>INDEX(Table!L:L,MATCH($A17,Table!$B:$B,0))</f>
        <v>1</v>
      </c>
      <c r="I17" s="525"/>
      <c r="J17" s="525"/>
      <c r="K17" s="137"/>
      <c r="L17" s="137"/>
      <c r="M17" s="137"/>
      <c r="N17" s="137"/>
      <c r="O17" s="137"/>
      <c r="P17" s="137"/>
      <c r="Q17" s="137"/>
      <c r="R17" s="137"/>
      <c r="S17" s="137"/>
      <c r="T17" s="76"/>
      <c r="U17" s="76">
        <v>13</v>
      </c>
      <c r="V17" s="76"/>
      <c r="W17" s="76"/>
      <c r="X17" s="76"/>
      <c r="Y17" s="76"/>
      <c r="Z17" s="76"/>
      <c r="AA17" s="380" t="s">
        <v>364</v>
      </c>
      <c r="AB17" s="423" t="str">
        <f>INDEX(Table!F:F,MATCH(AA17,Table!$B:$B,0))</f>
        <v>Alan White</v>
      </c>
      <c r="AC17" s="394">
        <f>INDEX(Table!I:I,MATCH(AA17,Table!$B:$B,0))</f>
        <v>-29.356363636363636</v>
      </c>
      <c r="AD17" s="395" t="s">
        <v>374</v>
      </c>
      <c r="AE17" s="421" t="str">
        <f>INDEX(Table!$F:$F,MATCH(AD17,Table!$B:$B,0))</f>
        <v>Martin Tarbuck</v>
      </c>
      <c r="AF17" s="394">
        <f>INDEX(Table!$I:$I,MATCH(AD17,Table!$B:$B,0))</f>
        <v>-25.856363636363632</v>
      </c>
      <c r="AG17" s="395" t="s">
        <v>384</v>
      </c>
      <c r="AH17" s="694" t="str">
        <f>INDEX(Table!$F:$F,MATCH(AG17,Table!$B:$B,0))</f>
        <v>Bob Bailey</v>
      </c>
      <c r="AI17" s="394">
        <f>INDEX(Table!$I:$I,MATCH(AG17,Table!$B:$B,0))</f>
        <v>-22.25</v>
      </c>
      <c r="AJ17" s="395" t="s">
        <v>394</v>
      </c>
      <c r="AK17" s="396" t="e">
        <f>INDEX(Table!$F:$F,MATCH(AJ17,Table!$B:$B,0))</f>
        <v>#N/A</v>
      </c>
      <c r="AL17" s="394" t="e">
        <f>INDEX(Table!$I:$I,MATCH(AJ17,Table!$B:$B,0))</f>
        <v>#N/A</v>
      </c>
      <c r="AM17" s="76"/>
      <c r="AN17" s="550" t="str">
        <f t="shared" si="3"/>
        <v>Alan White</v>
      </c>
      <c r="AO17" s="550" t="str">
        <f t="shared" si="0"/>
        <v>Martin Tarbuck</v>
      </c>
      <c r="AP17" s="550" t="str">
        <f>IF(AH17="","",AH17)</f>
        <v>Bob Bailey</v>
      </c>
      <c r="AQ17" s="550" t="e">
        <f t="shared" si="2"/>
        <v>#N/A</v>
      </c>
      <c r="AR17" s="76"/>
      <c r="AS17" s="76"/>
      <c r="AT17" s="76"/>
      <c r="AU17" s="76"/>
      <c r="AV17" s="76"/>
      <c r="AW17" s="76"/>
    </row>
    <row r="18" spans="1:50" ht="18" customHeight="1">
      <c r="A18" s="8" t="s">
        <v>236</v>
      </c>
      <c r="B18" s="744"/>
      <c r="C18" s="216">
        <v>2</v>
      </c>
      <c r="D18" s="287">
        <f>INDEX(Table!I:I,MATCH($A18,Table!$B:$B,0))</f>
        <v>17.555000000000003</v>
      </c>
      <c r="E18" s="288">
        <f>INDEX(Table!J:J,MATCH($A18,Table!$B:$B,0))</f>
        <v>9</v>
      </c>
      <c r="F18" s="289" t="str">
        <f>INDEX(Table!F:F,MATCH($A18,Table!$B:$B,0))</f>
        <v>Simon Kimble</v>
      </c>
      <c r="G18" s="287">
        <f>INDEX(Table!K:K,MATCH($A18,Table!$B:$B,0))</f>
        <v>-7</v>
      </c>
      <c r="H18" s="288">
        <f>INDEX(Table!L:L,MATCH($A18,Table!$B:$B,0))</f>
        <v>0</v>
      </c>
      <c r="I18" s="137"/>
      <c r="J18" s="312"/>
      <c r="K18" s="406" t="s">
        <v>451</v>
      </c>
      <c r="L18" s="464"/>
      <c r="M18" s="715" t="s">
        <v>438</v>
      </c>
      <c r="N18" s="715"/>
      <c r="O18" s="715" t="s">
        <v>439</v>
      </c>
      <c r="P18" s="715"/>
      <c r="Q18" s="715"/>
      <c r="R18" s="466" t="s">
        <v>433</v>
      </c>
      <c r="S18" s="467" t="s">
        <v>434</v>
      </c>
      <c r="T18" s="76"/>
      <c r="U18" s="76">
        <v>14</v>
      </c>
      <c r="V18" s="76"/>
      <c r="W18" s="76"/>
      <c r="X18" s="76"/>
      <c r="Y18" s="76"/>
      <c r="Z18" s="76"/>
      <c r="AA18" s="380" t="s">
        <v>365</v>
      </c>
      <c r="AB18" s="423" t="str">
        <f>INDEX(Table!F:F,MATCH(AA18,Table!$B:$B,0))</f>
        <v>Gareth Powell</v>
      </c>
      <c r="AC18" s="394">
        <f>INDEX(Table!I:I,MATCH(AA18,Table!$B:$B,0))</f>
        <v>-32.25</v>
      </c>
      <c r="AD18" s="395" t="s">
        <v>375</v>
      </c>
      <c r="AE18" s="421" t="str">
        <f>INDEX(Table!$F:$F,MATCH(AD18,Table!$B:$B,0))</f>
        <v>Katy Savory</v>
      </c>
      <c r="AF18" s="394">
        <f>INDEX(Table!$I:$I,MATCH(AD18,Table!$B:$B,0))</f>
        <v>-26.416666666666664</v>
      </c>
      <c r="AG18" s="395" t="s">
        <v>385</v>
      </c>
      <c r="AH18" s="694" t="str">
        <f>INDEX(Table!$F:$F,MATCH(AG18,Table!$B:$B,0))</f>
        <v>Simon Richardson</v>
      </c>
      <c r="AI18" s="394">
        <f>INDEX(Table!$I:$I,MATCH(AG18,Table!$B:$B,0))</f>
        <v>-23.989305139305142</v>
      </c>
      <c r="AJ18" s="395" t="s">
        <v>394</v>
      </c>
      <c r="AK18" s="396" t="e">
        <f>INDEX(Table!$F:$F,MATCH(AJ18,Table!$B:$B,0))</f>
        <v>#N/A</v>
      </c>
      <c r="AL18" s="394" t="e">
        <f>INDEX(Table!$I:$I,MATCH(AJ18,Table!$B:$B,0))</f>
        <v>#N/A</v>
      </c>
      <c r="AM18" s="76"/>
      <c r="AN18" s="550" t="str">
        <f t="shared" si="3"/>
        <v>Gareth Powell</v>
      </c>
      <c r="AO18" s="550" t="str">
        <f t="shared" si="0"/>
        <v>Katy Savory</v>
      </c>
      <c r="AP18" s="550" t="str">
        <f>IF(AH18="","",AH18)</f>
        <v>Simon Richardson</v>
      </c>
      <c r="AQ18" s="550" t="e">
        <f t="shared" si="2"/>
        <v>#N/A</v>
      </c>
      <c r="AR18" s="76"/>
      <c r="AS18" s="76"/>
      <c r="AT18" s="76"/>
      <c r="AU18" s="76"/>
      <c r="AV18" s="76"/>
      <c r="AW18" s="76"/>
    </row>
    <row r="19" spans="1:50" ht="18" customHeight="1">
      <c r="A19" s="8" t="s">
        <v>237</v>
      </c>
      <c r="B19" s="744"/>
      <c r="C19" s="216">
        <v>3</v>
      </c>
      <c r="D19" s="286">
        <f>INDEX(Table!I:I,MATCH($A19,Table!$B:$B,0))</f>
        <v>-4.8249999999999993</v>
      </c>
      <c r="E19" s="135">
        <f>INDEX(Table!J:J,MATCH($A19,Table!$B:$B,0))</f>
        <v>5</v>
      </c>
      <c r="F19" s="136" t="str">
        <f>INDEX(Table!F:F,MATCH($A19,Table!$B:$B,0))</f>
        <v>Alick Rocca</v>
      </c>
      <c r="G19" s="286">
        <f>INDEX(Table!K:K,MATCH($A19,Table!$B:$B,0))</f>
        <v>9.6000000000000014</v>
      </c>
      <c r="H19" s="135">
        <f>INDEX(Table!L:L,MATCH($A19,Table!$B:$B,0))</f>
        <v>2</v>
      </c>
      <c r="I19" s="137"/>
      <c r="J19" s="312"/>
      <c r="K19" s="133" t="s">
        <v>428</v>
      </c>
      <c r="L19" s="486"/>
      <c r="M19" s="471" t="s">
        <v>645</v>
      </c>
      <c r="N19" s="463" t="str">
        <f>IF(M19="","",INDEX(Picks!N:N,MATCH(M19,Picks!M:M,0)))</f>
        <v>4/11</v>
      </c>
      <c r="O19" s="720" t="s">
        <v>601</v>
      </c>
      <c r="P19" s="721"/>
      <c r="Q19" s="722"/>
      <c r="R19" s="598" t="str">
        <f>IF(O19="","",INDEX(Picks!N:N,MATCH(O19,Picks!M:M,0)))</f>
        <v>7/5</v>
      </c>
      <c r="S19" s="465">
        <f>IF(M19="","",INDEX(TopPicks!K:K,MATCH(M19,TopPicks!I:I,0)))</f>
        <v>5</v>
      </c>
      <c r="T19" s="76"/>
      <c r="U19" s="76">
        <v>15</v>
      </c>
      <c r="V19" s="76"/>
      <c r="W19" s="76"/>
      <c r="X19" s="76"/>
      <c r="Y19" s="76"/>
      <c r="Z19" s="76"/>
      <c r="AA19" s="380" t="s">
        <v>366</v>
      </c>
      <c r="AB19" s="423" t="str">
        <f>INDEX(Table!F:F,MATCH(AA19,Table!$B:$B,0))</f>
        <v>Mark Bunn</v>
      </c>
      <c r="AC19" s="394">
        <f>INDEX(Table!I:I,MATCH(AA19,Table!$B:$B,0))</f>
        <v>-32.550000000000004</v>
      </c>
      <c r="AD19" s="395" t="s">
        <v>376</v>
      </c>
      <c r="AE19" s="421" t="str">
        <f>INDEX(Table!$F:$F,MATCH(AD19,Table!$B:$B,0))</f>
        <v>Graham Miller</v>
      </c>
      <c r="AF19" s="394">
        <f>INDEX(Table!$I:$I,MATCH(AD19,Table!$B:$B,0))</f>
        <v>-36.049999999999997</v>
      </c>
      <c r="AG19" s="395" t="s">
        <v>386</v>
      </c>
      <c r="AH19" s="695" t="str">
        <f>INDEX(Table!$F:$F,MATCH(AG19,Table!$B:$B,0))</f>
        <v>Charlie Griffiths</v>
      </c>
      <c r="AI19" s="697">
        <f>INDEX(Table!$I:$I,MATCH(AG19,Table!$B:$B,0))</f>
        <v>-25.734999999999999</v>
      </c>
      <c r="AJ19" s="395" t="s">
        <v>352</v>
      </c>
      <c r="AK19" s="396"/>
      <c r="AL19" s="394"/>
      <c r="AM19" s="76"/>
      <c r="AN19" s="550" t="str">
        <f t="shared" si="3"/>
        <v>Mark Bunn</v>
      </c>
      <c r="AO19" s="550" t="str">
        <f t="shared" si="0"/>
        <v>Graham Miller</v>
      </c>
      <c r="AP19" s="550" t="str">
        <f>IF(AH19="","",AH19)</f>
        <v>Charlie Griffiths</v>
      </c>
      <c r="AQ19" s="550" t="str">
        <f t="shared" si="2"/>
        <v/>
      </c>
      <c r="AR19" s="76"/>
      <c r="AS19" s="76"/>
      <c r="AT19" s="76"/>
      <c r="AU19" s="76"/>
      <c r="AV19" s="76"/>
      <c r="AW19" s="76"/>
    </row>
    <row r="20" spans="1:50" ht="18" customHeight="1">
      <c r="A20" s="8" t="s">
        <v>238</v>
      </c>
      <c r="B20" s="744"/>
      <c r="C20" s="216">
        <v>4</v>
      </c>
      <c r="D20" s="286">
        <f>INDEX(Table!I:I,MATCH($A20,Table!$B:$B,0))</f>
        <v>-8.6601282051282062</v>
      </c>
      <c r="E20" s="135">
        <f>INDEX(Table!J:J,MATCH($A20,Table!$B:$B,0))</f>
        <v>7</v>
      </c>
      <c r="F20" s="136" t="str">
        <f>INDEX(Table!F:F,MATCH($A20,Table!$B:$B,0))</f>
        <v>Dot Bow</v>
      </c>
      <c r="G20" s="286">
        <f>INDEX(Table!K:K,MATCH($A20,Table!$B:$B,0))</f>
        <v>-5.15</v>
      </c>
      <c r="H20" s="135">
        <f>INDEX(Table!L:L,MATCH($A20,Table!$B:$B,0))</f>
        <v>1</v>
      </c>
      <c r="I20" s="76"/>
      <c r="J20" s="312"/>
      <c r="K20" s="133" t="s">
        <v>429</v>
      </c>
      <c r="L20" s="486"/>
      <c r="M20" s="471" t="s">
        <v>554</v>
      </c>
      <c r="N20" s="463" t="str">
        <f>IF(M20="","",INDEX(Picks!N:N,MATCH(M20,Picks!M:M,0)))</f>
        <v>8/13</v>
      </c>
      <c r="O20" s="720"/>
      <c r="P20" s="721"/>
      <c r="Q20" s="722"/>
      <c r="R20" s="472" t="str">
        <f>IF(O20="","",INDEX(Picks!N:N,MATCH(O20,Picks!M:M,0)))</f>
        <v/>
      </c>
      <c r="S20" s="465">
        <f>IF(M20="","",INDEX(TopPicks!J:J,MATCH(M20,TopPicks!I:I,0)))</f>
        <v>10</v>
      </c>
      <c r="T20" s="446"/>
      <c r="U20" s="76">
        <v>16</v>
      </c>
      <c r="V20" s="76"/>
      <c r="W20" s="76"/>
      <c r="X20" s="76"/>
      <c r="Y20" s="76"/>
      <c r="Z20" s="76"/>
      <c r="AA20" s="380" t="s">
        <v>367</v>
      </c>
      <c r="AB20" s="423" t="str">
        <f>INDEX(Table!F:F,MATCH(AA20,Table!$B:$B,0))</f>
        <v>Paul Allen</v>
      </c>
      <c r="AC20" s="394">
        <f>INDEX(Table!I:I,MATCH(AA20,Table!$B:$B,0))</f>
        <v>-38.678571428571431</v>
      </c>
      <c r="AD20" s="395" t="s">
        <v>377</v>
      </c>
      <c r="AE20" s="421" t="str">
        <f>INDEX(Table!$F:$F,MATCH(AD20,Table!$B:$B,0))</f>
        <v>Chris Griffin</v>
      </c>
      <c r="AF20" s="394">
        <f>INDEX(Table!$I:$I,MATCH(AD20,Table!$B:$B,0))</f>
        <v>-36.518181818181816</v>
      </c>
      <c r="AG20" s="395" t="s">
        <v>387</v>
      </c>
      <c r="AH20" s="696" t="str">
        <f>INDEX(Table!$F:$F,MATCH(AG20,Table!$B:$B,0))</f>
        <v>Chris Bow</v>
      </c>
      <c r="AI20" s="698">
        <f>INDEX(Table!$I:$I,MATCH(AG20,Table!$B:$B,0))</f>
        <v>-27.1875</v>
      </c>
      <c r="AJ20" s="395" t="s">
        <v>353</v>
      </c>
      <c r="AK20" s="396"/>
      <c r="AL20" s="394"/>
      <c r="AM20" s="76"/>
      <c r="AN20" s="550" t="str">
        <f t="shared" si="3"/>
        <v>Paul Allen</v>
      </c>
      <c r="AO20" s="550" t="str">
        <f t="shared" si="0"/>
        <v>Chris Griffin</v>
      </c>
      <c r="AP20" s="550" t="str">
        <f>IF(AH20="","",AH20)</f>
        <v>Chris Bow</v>
      </c>
      <c r="AQ20" s="550" t="str">
        <f t="shared" si="2"/>
        <v/>
      </c>
      <c r="AR20" s="76"/>
      <c r="AS20" s="76"/>
      <c r="AT20" s="76"/>
      <c r="AU20" s="76"/>
      <c r="AV20" s="76"/>
      <c r="AW20" s="76"/>
    </row>
    <row r="21" spans="1:50" ht="18" customHeight="1">
      <c r="A21" s="8" t="s">
        <v>239</v>
      </c>
      <c r="B21" s="744"/>
      <c r="C21" s="216">
        <v>5</v>
      </c>
      <c r="D21" s="286">
        <f>INDEX(Table!I:I,MATCH($A21,Table!$B:$B,0))</f>
        <v>-9.3671900826446262</v>
      </c>
      <c r="E21" s="135">
        <f>INDEX(Table!J:J,MATCH($A21,Table!$B:$B,0))</f>
        <v>8</v>
      </c>
      <c r="F21" s="136" t="str">
        <f>INDEX(Table!F:F,MATCH($A21,Table!$B:$B,0))</f>
        <v>Alex Griffin</v>
      </c>
      <c r="G21" s="286">
        <f>INDEX(Table!K:K,MATCH($A21,Table!$B:$B,0))</f>
        <v>-4.8</v>
      </c>
      <c r="H21" s="135">
        <f>INDEX(Table!L:L,MATCH($A21,Table!$B:$B,0))</f>
        <v>1</v>
      </c>
      <c r="I21" s="76"/>
      <c r="J21" s="310"/>
      <c r="K21" s="406" t="s">
        <v>449</v>
      </c>
      <c r="L21" s="406"/>
      <c r="M21" s="715" t="s">
        <v>438</v>
      </c>
      <c r="N21" s="715"/>
      <c r="O21" s="715" t="s">
        <v>453</v>
      </c>
      <c r="P21" s="715"/>
      <c r="Q21" s="716"/>
      <c r="R21" s="735" t="s">
        <v>452</v>
      </c>
      <c r="S21" s="736"/>
      <c r="T21" s="76"/>
      <c r="U21" s="76">
        <v>17</v>
      </c>
      <c r="V21" s="76"/>
      <c r="W21" s="76"/>
      <c r="X21" s="76"/>
      <c r="Y21" s="76"/>
      <c r="Z21" s="76"/>
      <c r="AA21" s="380"/>
      <c r="AB21" s="390"/>
      <c r="AC21" s="397"/>
      <c r="AD21" s="395"/>
      <c r="AE21" s="396"/>
      <c r="AF21" s="398"/>
      <c r="AG21" s="395" t="s">
        <v>497</v>
      </c>
      <c r="AH21" s="694" t="str">
        <f>INDEX(Table!$F:$F,MATCH(AG21,Table!$B:$B,0))</f>
        <v>Dan Gibbard</v>
      </c>
      <c r="AI21" s="394">
        <f>INDEX(Table!$I:$I,MATCH(AG21,Table!$B:$B,0))</f>
        <v>-27.26653846153846</v>
      </c>
      <c r="AJ21" s="395" t="s">
        <v>354</v>
      </c>
      <c r="AK21" s="396"/>
      <c r="AL21" s="394"/>
      <c r="AM21" s="76"/>
      <c r="AN21" s="76"/>
      <c r="AO21" s="76"/>
      <c r="AP21" s="76"/>
      <c r="AQ21" s="76"/>
      <c r="AR21" s="76"/>
      <c r="AS21" s="76"/>
      <c r="AT21" s="76"/>
      <c r="AU21" s="76"/>
      <c r="AV21" s="76"/>
      <c r="AW21" s="76"/>
    </row>
    <row r="22" spans="1:50" ht="18" customHeight="1" thickBot="1">
      <c r="A22" s="8" t="s">
        <v>302</v>
      </c>
      <c r="B22" s="745"/>
      <c r="C22" s="216">
        <v>6</v>
      </c>
      <c r="D22" s="290">
        <f>INDEX(Table!I:I,MATCH($A22,Table!$B:$B,0))</f>
        <v>-10.729999999999995</v>
      </c>
      <c r="E22" s="291">
        <f>INDEX(Table!J:J,MATCH($A22,Table!$B:$B,0))</f>
        <v>6</v>
      </c>
      <c r="F22" s="292" t="str">
        <f>INDEX(Table!F:F,MATCH($A22,Table!$B:$B,0))</f>
        <v>Alan Bond</v>
      </c>
      <c r="G22" s="290">
        <f>INDEX(Table!K:K,MATCH($A22,Table!$B:$B,0))</f>
        <v>-3.9</v>
      </c>
      <c r="H22" s="291">
        <f>INDEX(Table!L:L,MATCH($A22,Table!$B:$B,0))</f>
        <v>1</v>
      </c>
      <c r="I22" s="76"/>
      <c r="J22" s="310"/>
      <c r="K22" s="133" t="s">
        <v>450</v>
      </c>
      <c r="L22" s="486"/>
      <c r="M22" s="471" t="s">
        <v>649</v>
      </c>
      <c r="N22" s="463" t="str">
        <f>IF(J23="Y",N23,INDEX(Picks!N:N,MATCH(M22,Picks!M:M,0)))</f>
        <v>12/5</v>
      </c>
      <c r="O22" s="720" t="s">
        <v>651</v>
      </c>
      <c r="P22" s="721"/>
      <c r="Q22" s="722"/>
      <c r="R22" s="720" t="s">
        <v>282</v>
      </c>
      <c r="S22" s="722"/>
      <c r="T22" s="76"/>
      <c r="U22" s="76">
        <v>18</v>
      </c>
      <c r="V22" s="76"/>
      <c r="W22" s="76"/>
      <c r="X22" s="76"/>
      <c r="Y22" s="76"/>
      <c r="Z22" s="76"/>
      <c r="AA22" s="380"/>
      <c r="AB22" s="390"/>
      <c r="AC22" s="397"/>
      <c r="AD22" s="395"/>
      <c r="AE22" s="396"/>
      <c r="AF22" s="398"/>
      <c r="AG22" s="395" t="s">
        <v>499</v>
      </c>
      <c r="AH22" s="694" t="str">
        <f>INDEX(Table!$F:$F,MATCH(AG22,Table!$B:$B,0))</f>
        <v>Andy White</v>
      </c>
      <c r="AI22" s="394">
        <f>INDEX(Table!$I:$I,MATCH(AG22,Table!$B:$B,0))</f>
        <v>-31.590909090909093</v>
      </c>
      <c r="AJ22" s="395" t="s">
        <v>355</v>
      </c>
      <c r="AK22" s="396"/>
      <c r="AL22" s="394"/>
      <c r="AM22" s="76"/>
      <c r="AN22" s="76"/>
      <c r="AO22" s="76"/>
      <c r="AP22" s="76"/>
      <c r="AQ22" s="76"/>
      <c r="AR22" s="76"/>
      <c r="AS22" s="76"/>
      <c r="AT22" s="76"/>
      <c r="AU22" s="76"/>
      <c r="AV22" s="76"/>
      <c r="AW22" s="76"/>
    </row>
    <row r="23" spans="1:50" ht="18" customHeight="1" thickTop="1">
      <c r="A23" s="8" t="s">
        <v>36</v>
      </c>
      <c r="B23" s="743" t="s">
        <v>216</v>
      </c>
      <c r="C23" s="216">
        <v>1</v>
      </c>
      <c r="D23" s="287" t="e">
        <f>INDEX(Table!I:I,MATCH($A23,Table!$B:$B,0))</f>
        <v>#N/A</v>
      </c>
      <c r="E23" s="288" t="e">
        <f>INDEX(Table!J:J,MATCH($A23,Table!$B:$B,0))</f>
        <v>#N/A</v>
      </c>
      <c r="F23" s="289" t="e">
        <f>INDEX(Table!F:F,MATCH($A23,Table!$B:$B,0))</f>
        <v>#N/A</v>
      </c>
      <c r="G23" s="287" t="e">
        <f>INDEX(Table!K:K,MATCH($A23,Table!$B:$B,0))</f>
        <v>#N/A</v>
      </c>
      <c r="H23" s="288" t="e">
        <f>INDEX(Table!L:L,MATCH($A23,Table!$B:$B,0))</f>
        <v>#N/A</v>
      </c>
      <c r="I23" s="76"/>
      <c r="J23" s="590" t="s">
        <v>506</v>
      </c>
      <c r="K23" s="492"/>
      <c r="L23" s="492"/>
      <c r="M23" s="592" t="s">
        <v>509</v>
      </c>
      <c r="N23" s="591" t="s">
        <v>508</v>
      </c>
      <c r="O23" s="470"/>
      <c r="P23" s="470"/>
      <c r="Q23" s="470"/>
      <c r="R23" s="463"/>
      <c r="S23" s="493"/>
      <c r="T23" s="76"/>
      <c r="U23" s="76">
        <v>19</v>
      </c>
      <c r="V23" s="76"/>
      <c r="W23" s="76"/>
      <c r="X23" s="76"/>
      <c r="Y23" s="76"/>
      <c r="Z23" s="76"/>
      <c r="AA23" s="380"/>
      <c r="AB23" s="390"/>
      <c r="AC23" s="397"/>
      <c r="AD23" s="395"/>
      <c r="AE23" s="396"/>
      <c r="AF23" s="398"/>
      <c r="AG23" s="395" t="s">
        <v>500</v>
      </c>
      <c r="AH23" s="692"/>
      <c r="AI23" s="394"/>
      <c r="AJ23" s="395" t="s">
        <v>356</v>
      </c>
      <c r="AK23" s="396"/>
      <c r="AL23" s="394"/>
      <c r="AM23" s="76"/>
      <c r="AN23" s="76"/>
      <c r="AO23" s="76"/>
      <c r="AP23" s="76"/>
      <c r="AQ23" s="76"/>
      <c r="AR23" s="76"/>
      <c r="AS23" s="76"/>
      <c r="AT23" s="76"/>
      <c r="AU23" s="76"/>
      <c r="AV23" s="76"/>
      <c r="AW23" s="76"/>
    </row>
    <row r="24" spans="1:50" ht="18" customHeight="1">
      <c r="A24" s="8" t="s">
        <v>37</v>
      </c>
      <c r="B24" s="744"/>
      <c r="C24" s="216">
        <v>2</v>
      </c>
      <c r="D24" s="287" t="e">
        <f>INDEX(Table!I:I,MATCH($A24,Table!$B:$B,0))</f>
        <v>#N/A</v>
      </c>
      <c r="E24" s="288" t="e">
        <f>INDEX(Table!J:J,MATCH($A24,Table!$B:$B,0))</f>
        <v>#N/A</v>
      </c>
      <c r="F24" s="289" t="e">
        <f>INDEX(Table!F:F,MATCH($A24,Table!$B:$B,0))</f>
        <v>#N/A</v>
      </c>
      <c r="G24" s="287" t="e">
        <f>INDEX(Table!K:K,MATCH($A24,Table!$B:$B,0))</f>
        <v>#N/A</v>
      </c>
      <c r="H24" s="288" t="e">
        <f>INDEX(Table!L:L,MATCH($A24,Table!$B:$B,0))</f>
        <v>#N/A</v>
      </c>
      <c r="I24" s="76"/>
      <c r="J24" s="310"/>
      <c r="K24" s="491" t="s">
        <v>445</v>
      </c>
      <c r="L24" s="487"/>
      <c r="M24" s="488"/>
      <c r="N24" s="489"/>
      <c r="O24" s="488"/>
      <c r="P24" s="490"/>
      <c r="Q24" s="711" t="s">
        <v>522</v>
      </c>
      <c r="R24" s="711"/>
      <c r="S24" s="712"/>
      <c r="T24" s="76"/>
      <c r="U24" s="76">
        <v>20</v>
      </c>
      <c r="V24" s="76"/>
      <c r="W24" s="76"/>
      <c r="X24" s="76"/>
      <c r="Y24" s="76"/>
      <c r="Z24" s="76"/>
      <c r="AA24" s="380"/>
      <c r="AB24" s="390"/>
      <c r="AC24" s="397"/>
      <c r="AD24" s="395"/>
      <c r="AE24" s="396"/>
      <c r="AF24" s="398"/>
      <c r="AG24" s="395" t="s">
        <v>498</v>
      </c>
      <c r="AH24" s="692"/>
      <c r="AI24" s="394"/>
      <c r="AJ24" s="395" t="s">
        <v>357</v>
      </c>
      <c r="AK24" s="396"/>
      <c r="AL24" s="394"/>
      <c r="AM24" s="76"/>
      <c r="AN24" s="76"/>
      <c r="AO24" s="76"/>
      <c r="AP24" s="76"/>
      <c r="AQ24" s="76"/>
      <c r="AR24" s="76"/>
      <c r="AS24" s="76"/>
      <c r="AT24" s="76"/>
      <c r="AU24" s="76"/>
      <c r="AV24" s="76"/>
      <c r="AW24" s="76"/>
    </row>
    <row r="25" spans="1:50" ht="18" customHeight="1">
      <c r="A25" s="8" t="s">
        <v>240</v>
      </c>
      <c r="B25" s="744"/>
      <c r="C25" s="216">
        <v>3</v>
      </c>
      <c r="D25" s="286" t="e">
        <f>INDEX(Table!I:I,MATCH($A25,Table!$B:$B,0))</f>
        <v>#N/A</v>
      </c>
      <c r="E25" s="135" t="e">
        <f>INDEX(Table!J:J,MATCH($A25,Table!$B:$B,0))</f>
        <v>#N/A</v>
      </c>
      <c r="F25" s="136" t="e">
        <f>INDEX(Table!F:F,MATCH($A25,Table!$B:$B,0))</f>
        <v>#N/A</v>
      </c>
      <c r="G25" s="286" t="e">
        <f>INDEX(Table!K:K,MATCH($A25,Table!$B:$B,0))</f>
        <v>#N/A</v>
      </c>
      <c r="H25" s="135" t="e">
        <f>INDEX(Table!L:L,MATCH($A25,Table!$B:$B,0))</f>
        <v>#N/A</v>
      </c>
      <c r="I25" s="76"/>
      <c r="J25" s="310"/>
      <c r="K25" s="133" t="s">
        <v>430</v>
      </c>
      <c r="L25" s="486"/>
      <c r="M25" s="727" t="str">
        <f>INDEX(Picks!AL:AL,MATCH(O25,Picks!AM:AM,0))</f>
        <v>Dave Bell</v>
      </c>
      <c r="N25" s="722"/>
      <c r="O25" s="485">
        <f>MAX(Picks!AM:AM)</f>
        <v>78.099999999999994</v>
      </c>
      <c r="P25" s="472" t="str">
        <f>INDEX(Picks!AN:AN,MATCH(M25,Picks!AL:AL,0))&amp;" in"</f>
        <v>2 in</v>
      </c>
      <c r="Q25" s="673"/>
      <c r="R25" s="713">
        <f>TableWeeklyMax/entrants</f>
        <v>26.69870281718282</v>
      </c>
      <c r="S25" s="714"/>
      <c r="T25" s="76"/>
      <c r="U25" s="76"/>
      <c r="V25" s="76"/>
      <c r="W25" s="76"/>
      <c r="X25" s="76"/>
      <c r="Y25" s="76"/>
      <c r="Z25" s="76"/>
      <c r="AA25" s="76"/>
      <c r="AB25" s="494"/>
      <c r="AC25" s="87"/>
      <c r="AD25" s="76"/>
      <c r="AE25" s="76"/>
      <c r="AF25" s="76"/>
      <c r="AG25" s="76"/>
      <c r="AH25" s="76"/>
      <c r="AI25" s="76"/>
      <c r="AJ25" s="76"/>
      <c r="AK25" s="76"/>
      <c r="AL25" s="76"/>
      <c r="AM25" s="76"/>
      <c r="AN25" s="76"/>
      <c r="AO25" s="76"/>
      <c r="AP25" s="76"/>
      <c r="AQ25" s="76"/>
      <c r="AR25" s="76"/>
      <c r="AS25" s="76"/>
      <c r="AT25" s="76"/>
      <c r="AU25" s="76"/>
      <c r="AV25" s="76"/>
      <c r="AW25" s="76"/>
    </row>
    <row r="26" spans="1:50" ht="18" customHeight="1">
      <c r="A26" s="8" t="s">
        <v>305</v>
      </c>
      <c r="B26" s="744"/>
      <c r="C26" s="216">
        <v>4</v>
      </c>
      <c r="D26" s="286" t="e">
        <f>INDEX(Table!I:I,MATCH($A26,Table!$B:$B,0))</f>
        <v>#N/A</v>
      </c>
      <c r="E26" s="135" t="e">
        <f>INDEX(Table!J:J,MATCH($A26,Table!$B:$B,0))</f>
        <v>#N/A</v>
      </c>
      <c r="F26" s="136" t="e">
        <f>INDEX(Table!F:F,MATCH($A26,Table!$B:$B,0))</f>
        <v>#N/A</v>
      </c>
      <c r="G26" s="286" t="e">
        <f>INDEX(Table!K:K,MATCH($A26,Table!$B:$B,0))</f>
        <v>#N/A</v>
      </c>
      <c r="H26" s="135" t="e">
        <f>INDEX(Table!L:L,MATCH($A26,Table!$B:$B,0))</f>
        <v>#N/A</v>
      </c>
      <c r="I26" s="76"/>
      <c r="J26" s="310"/>
      <c r="K26" s="133" t="s">
        <v>431</v>
      </c>
      <c r="L26" s="486"/>
      <c r="M26" s="727" t="str">
        <f>INDEX(Picks!AL:AL,MATCH(O26,Picks!AM:AM,0))</f>
        <v>Howard Bradley</v>
      </c>
      <c r="N26" s="722"/>
      <c r="O26" s="485">
        <f>MIN(Picks!AM:AM)</f>
        <v>5.2954545454545467</v>
      </c>
      <c r="P26" s="472" t="str">
        <f>INDEX(Picks!AN:AN,MATCH(M26,Picks!AL:AL,0))&amp;" in"</f>
        <v>2 in</v>
      </c>
      <c r="Q26" s="673" t="s">
        <v>521</v>
      </c>
      <c r="R26" s="713">
        <f>TableWeeklyActual/entrants</f>
        <v>-2.1456966783216775</v>
      </c>
      <c r="S26" s="714"/>
      <c r="T26" s="76"/>
      <c r="U26" s="76"/>
      <c r="V26" s="76"/>
      <c r="W26" s="76"/>
      <c r="X26" s="76"/>
      <c r="Y26" s="76"/>
      <c r="Z26" s="447"/>
      <c r="AA26" s="76"/>
      <c r="AB26" s="494"/>
      <c r="AC26" s="87"/>
      <c r="AD26" s="76"/>
      <c r="AE26" s="76"/>
      <c r="AF26" s="76"/>
      <c r="AG26" s="76"/>
      <c r="AH26" s="76"/>
      <c r="AI26" s="76"/>
      <c r="AJ26" s="76"/>
      <c r="AK26" s="76"/>
      <c r="AL26" s="76"/>
      <c r="AM26" s="76"/>
      <c r="AN26" s="76"/>
      <c r="AO26" s="76"/>
      <c r="AP26" s="76"/>
      <c r="AQ26" s="76"/>
      <c r="AR26" s="76"/>
      <c r="AS26" s="76"/>
      <c r="AT26" s="76"/>
      <c r="AU26" s="76"/>
      <c r="AV26" s="76"/>
      <c r="AW26" s="76"/>
    </row>
    <row r="27" spans="1:50" ht="18" customHeight="1">
      <c r="A27" s="8" t="s">
        <v>241</v>
      </c>
      <c r="B27" s="744"/>
      <c r="C27" s="216">
        <v>5</v>
      </c>
      <c r="D27" s="286" t="e">
        <f>INDEX(Table!I:I,MATCH($A27,Table!$B:$B,0))</f>
        <v>#N/A</v>
      </c>
      <c r="E27" s="135" t="e">
        <f>INDEX(Table!J:J,MATCH($A27,Table!$B:$B,0))</f>
        <v>#N/A</v>
      </c>
      <c r="F27" s="136" t="e">
        <f>INDEX(Table!F:F,MATCH($A27,Table!$B:$B,0))</f>
        <v>#N/A</v>
      </c>
      <c r="G27" s="286" t="e">
        <f>INDEX(Table!K:K,MATCH($A27,Table!$B:$B,0))</f>
        <v>#N/A</v>
      </c>
      <c r="H27" s="135" t="e">
        <f>INDEX(Table!L:L,MATCH($A27,Table!$B:$B,0))</f>
        <v>#N/A</v>
      </c>
      <c r="I27" s="76"/>
      <c r="J27" s="310"/>
      <c r="K27" s="137"/>
      <c r="L27" s="137"/>
      <c r="M27" s="137"/>
      <c r="N27" s="137"/>
      <c r="O27" s="137"/>
      <c r="P27" s="137"/>
      <c r="Q27" s="137"/>
      <c r="R27" s="137"/>
      <c r="S27" s="137"/>
      <c r="T27" s="76"/>
      <c r="U27" s="76"/>
      <c r="V27" s="76"/>
      <c r="W27" s="76"/>
      <c r="X27" s="76"/>
      <c r="Y27" s="76"/>
      <c r="Z27" s="447"/>
      <c r="AA27" s="76"/>
      <c r="AB27" s="494"/>
      <c r="AC27" s="87"/>
      <c r="AD27" s="76"/>
      <c r="AE27" s="76"/>
      <c r="AF27" s="76"/>
      <c r="AG27" s="76"/>
      <c r="AH27" s="76"/>
      <c r="AI27" s="76"/>
      <c r="AJ27" s="76"/>
      <c r="AK27" s="76"/>
      <c r="AL27" s="76"/>
      <c r="AM27" s="76"/>
      <c r="AN27" s="76"/>
      <c r="AO27" s="76"/>
      <c r="AP27" s="76"/>
      <c r="AQ27" s="76"/>
      <c r="AR27" s="76"/>
      <c r="AS27" s="76"/>
      <c r="AT27" s="76"/>
      <c r="AU27" s="76"/>
      <c r="AV27" s="76"/>
      <c r="AW27" s="76"/>
    </row>
    <row r="28" spans="1:50" ht="18" customHeight="1">
      <c r="A28" s="8" t="s">
        <v>303</v>
      </c>
      <c r="B28" s="745"/>
      <c r="C28" s="216">
        <v>6</v>
      </c>
      <c r="D28" s="286" t="e">
        <f>INDEX(Table!I:I,MATCH($A28,Table!$B:$B,0))</f>
        <v>#N/A</v>
      </c>
      <c r="E28" s="135" t="e">
        <f>INDEX(Table!J:J,MATCH($A28,Table!$B:$B,0))</f>
        <v>#N/A</v>
      </c>
      <c r="F28" s="136" t="e">
        <f>INDEX(Table!F:F,MATCH($A28,Table!$B:$B,0))</f>
        <v>#N/A</v>
      </c>
      <c r="G28" s="286" t="e">
        <f>INDEX(Table!K:K,MATCH($A28,Table!$B:$B,0))</f>
        <v>#N/A</v>
      </c>
      <c r="H28" s="135" t="e">
        <f>INDEX(Table!L:L,MATCH($A28,Table!$B:$B,0))</f>
        <v>#N/A</v>
      </c>
      <c r="I28" s="76"/>
      <c r="J28" s="310" t="s">
        <v>177</v>
      </c>
      <c r="K28" s="406" t="s">
        <v>180</v>
      </c>
      <c r="L28" s="459"/>
      <c r="M28" s="738" t="s">
        <v>573</v>
      </c>
      <c r="N28" s="738"/>
      <c r="O28" s="738"/>
      <c r="P28" s="738"/>
      <c r="Q28" s="738"/>
      <c r="R28" s="738"/>
      <c r="S28" s="738"/>
      <c r="T28" s="76"/>
      <c r="U28" s="76"/>
      <c r="V28" s="76"/>
      <c r="W28" s="76"/>
      <c r="X28" s="76"/>
      <c r="Y28" s="76"/>
      <c r="Z28" s="447"/>
      <c r="AA28" s="76"/>
      <c r="AB28" s="494"/>
      <c r="AC28" s="87"/>
      <c r="AD28" s="76"/>
      <c r="AE28" s="76"/>
      <c r="AF28" s="76"/>
      <c r="AG28" s="76"/>
      <c r="AH28" s="76"/>
      <c r="AI28" s="76"/>
      <c r="AJ28" s="76"/>
      <c r="AK28" s="76"/>
      <c r="AL28" s="76"/>
      <c r="AM28" s="76"/>
      <c r="AN28" s="76"/>
      <c r="AO28" s="76"/>
      <c r="AP28" s="76"/>
      <c r="AQ28" s="76"/>
      <c r="AR28" s="76"/>
      <c r="AS28" s="76"/>
      <c r="AT28" s="76"/>
      <c r="AU28" s="76"/>
      <c r="AV28" s="76"/>
      <c r="AW28" s="76"/>
    </row>
    <row r="29" spans="1:50" ht="18" customHeight="1">
      <c r="B29" s="76"/>
      <c r="C29" s="77"/>
      <c r="D29" s="77"/>
      <c r="E29" s="80"/>
      <c r="F29" s="76"/>
      <c r="G29" s="76"/>
      <c r="H29" s="80"/>
      <c r="I29" s="76"/>
      <c r="J29" s="310"/>
      <c r="K29" s="737" t="s">
        <v>440</v>
      </c>
      <c r="L29" s="716"/>
      <c r="M29" s="495" t="s">
        <v>442</v>
      </c>
      <c r="N29" s="737" t="s">
        <v>441</v>
      </c>
      <c r="O29" s="715"/>
      <c r="P29" s="716"/>
      <c r="Q29" s="715" t="s">
        <v>443</v>
      </c>
      <c r="R29" s="715"/>
      <c r="S29" s="716"/>
      <c r="T29" s="76"/>
      <c r="U29" s="76"/>
      <c r="V29" s="76"/>
      <c r="W29" s="76"/>
      <c r="X29" s="76"/>
      <c r="Y29" s="76"/>
      <c r="Z29" s="447"/>
      <c r="AA29" s="76"/>
      <c r="AB29" s="494"/>
      <c r="AC29" s="87"/>
      <c r="AD29" s="76"/>
      <c r="AE29" s="76"/>
      <c r="AF29" s="76"/>
      <c r="AG29" s="76"/>
      <c r="AH29" s="76"/>
      <c r="AI29" s="76"/>
      <c r="AJ29" s="76"/>
      <c r="AK29" s="76"/>
      <c r="AL29" s="76"/>
      <c r="AM29" s="76"/>
      <c r="AN29" s="76"/>
      <c r="AO29" s="76"/>
      <c r="AP29" s="76"/>
      <c r="AQ29" s="76"/>
      <c r="AR29" s="76"/>
      <c r="AS29" s="76"/>
      <c r="AT29" s="76"/>
      <c r="AU29" s="76"/>
      <c r="AV29" s="76"/>
      <c r="AW29" s="76"/>
    </row>
    <row r="30" spans="1:50" ht="18" customHeight="1">
      <c r="B30" s="76"/>
      <c r="C30" s="77"/>
      <c r="D30" s="77"/>
      <c r="E30" s="80"/>
      <c r="F30" s="76"/>
      <c r="G30" s="76"/>
      <c r="H30" s="80"/>
      <c r="I30" s="76"/>
      <c r="J30" s="310"/>
      <c r="K30" s="732">
        <f>IF($J$31="Y",K31,'3of3'!$B$8)</f>
        <v>3</v>
      </c>
      <c r="L30" s="733"/>
      <c r="M30" s="134">
        <f>IF($J$31="Y",M31,'3of3'!$B$7)</f>
        <v>15</v>
      </c>
      <c r="N30" s="732">
        <f>IF($J$31="Y",N31,'3of3'!$B$6)</f>
        <v>21</v>
      </c>
      <c r="O30" s="734"/>
      <c r="P30" s="733"/>
      <c r="Q30" s="732">
        <f>IF($J$31="Y",Q31,'3of3'!$B$5)</f>
        <v>11</v>
      </c>
      <c r="R30" s="734"/>
      <c r="S30" s="733"/>
      <c r="T30" s="76"/>
      <c r="U30" s="76"/>
      <c r="V30" s="76"/>
      <c r="W30" s="76"/>
      <c r="X30" s="76"/>
      <c r="Y30" s="76"/>
      <c r="Z30" s="76"/>
      <c r="AA30" s="76"/>
      <c r="AB30" s="76"/>
      <c r="AC30" s="87"/>
      <c r="AD30" s="76"/>
      <c r="AE30" s="76"/>
      <c r="AF30" s="76"/>
      <c r="AG30" s="76"/>
      <c r="AH30" s="76"/>
      <c r="AI30" s="76"/>
      <c r="AJ30" s="76"/>
      <c r="AK30" s="76"/>
      <c r="AL30" s="76"/>
      <c r="AM30" s="76"/>
      <c r="AN30" s="76"/>
      <c r="AO30" s="76"/>
      <c r="AP30" s="76"/>
      <c r="AQ30" s="76"/>
      <c r="AR30" s="76"/>
      <c r="AS30" s="76"/>
      <c r="AT30" s="76"/>
      <c r="AU30" s="76"/>
      <c r="AV30" s="76"/>
      <c r="AW30" s="76"/>
    </row>
    <row r="31" spans="1:50" ht="18" customHeight="1">
      <c r="B31" s="76"/>
      <c r="C31" s="77"/>
      <c r="D31" s="77"/>
      <c r="E31" s="80"/>
      <c r="F31" s="76"/>
      <c r="G31" s="76"/>
      <c r="H31" s="80"/>
      <c r="I31" s="76"/>
      <c r="J31" s="526" t="s">
        <v>506</v>
      </c>
      <c r="K31" s="731">
        <v>0</v>
      </c>
      <c r="L31" s="731"/>
      <c r="M31" s="80">
        <v>4</v>
      </c>
      <c r="N31" s="731">
        <v>22</v>
      </c>
      <c r="O31" s="731"/>
      <c r="P31" s="731"/>
      <c r="Q31" s="731">
        <v>20</v>
      </c>
      <c r="R31" s="731"/>
      <c r="S31" s="731"/>
      <c r="T31" s="76"/>
      <c r="U31" s="76"/>
      <c r="V31" s="76"/>
      <c r="W31" s="76"/>
      <c r="X31" s="76"/>
      <c r="Y31" s="76"/>
      <c r="Z31" s="76"/>
      <c r="AA31" s="76"/>
      <c r="AB31" s="76"/>
      <c r="AC31" s="134">
        <f>'3of3'!$B$5</f>
        <v>11</v>
      </c>
      <c r="AD31" s="87"/>
      <c r="AE31" s="137" t="s">
        <v>456</v>
      </c>
      <c r="AF31" s="76"/>
      <c r="AG31" s="76"/>
      <c r="AH31" s="76"/>
      <c r="AI31" s="76"/>
      <c r="AJ31" s="76"/>
      <c r="AK31" s="76"/>
      <c r="AL31" s="76"/>
      <c r="AM31" s="76"/>
      <c r="AN31" s="76"/>
      <c r="AO31" s="76"/>
      <c r="AP31" s="76"/>
      <c r="AQ31" s="76"/>
      <c r="AR31" s="76"/>
      <c r="AS31" s="76"/>
      <c r="AT31" s="76"/>
      <c r="AU31" s="76"/>
      <c r="AV31" s="76"/>
      <c r="AW31" s="76"/>
      <c r="AX31" s="76"/>
    </row>
    <row r="32" spans="1:50" ht="18" customHeight="1">
      <c r="B32" s="76"/>
      <c r="C32" s="77"/>
      <c r="D32" s="77"/>
      <c r="E32" s="80"/>
      <c r="F32" s="76"/>
      <c r="G32" s="76"/>
      <c r="H32" s="80"/>
      <c r="I32" s="76"/>
      <c r="J32" s="310"/>
      <c r="K32" s="76"/>
      <c r="L32" s="76"/>
      <c r="M32" s="58"/>
      <c r="N32" s="76"/>
      <c r="O32" s="76"/>
      <c r="P32" s="76"/>
      <c r="Q32" s="76"/>
      <c r="R32" s="76"/>
      <c r="S32" s="76"/>
      <c r="T32" s="76"/>
      <c r="U32" s="76"/>
      <c r="V32" s="76"/>
      <c r="W32" s="76"/>
      <c r="X32" s="76"/>
      <c r="Y32" s="76"/>
      <c r="Z32" s="76"/>
      <c r="AA32" s="76"/>
      <c r="AB32" s="76"/>
      <c r="AC32" s="134">
        <f>'3of3'!$B$6</f>
        <v>21</v>
      </c>
      <c r="AD32" s="87"/>
      <c r="AE32" s="137" t="s">
        <v>457</v>
      </c>
      <c r="AF32" s="76"/>
      <c r="AG32" s="76"/>
      <c r="AH32" s="76"/>
      <c r="AI32" s="76"/>
      <c r="AJ32" s="76"/>
      <c r="AK32" s="76"/>
      <c r="AL32" s="76"/>
      <c r="AM32" s="76"/>
      <c r="AN32" s="76"/>
      <c r="AO32" s="76"/>
      <c r="AP32" s="76"/>
      <c r="AQ32" s="76"/>
      <c r="AR32" s="76"/>
      <c r="AS32" s="76"/>
      <c r="AT32" s="76"/>
      <c r="AU32" s="76"/>
      <c r="AV32" s="76"/>
      <c r="AW32" s="76"/>
      <c r="AX32" s="76"/>
    </row>
    <row r="33" spans="2:50" ht="18" customHeight="1">
      <c r="B33" s="76"/>
      <c r="C33" s="77"/>
      <c r="D33" s="77"/>
      <c r="E33" s="80"/>
      <c r="F33" s="76"/>
      <c r="G33" s="76"/>
      <c r="H33" s="80"/>
      <c r="I33" s="76"/>
      <c r="J33" s="310"/>
      <c r="K33" s="76"/>
      <c r="L33" s="76"/>
      <c r="M33" s="76"/>
      <c r="N33" s="76"/>
      <c r="O33" s="76"/>
      <c r="P33" s="76"/>
      <c r="Q33" s="76"/>
      <c r="R33" s="76"/>
      <c r="S33" s="58" t="s">
        <v>448</v>
      </c>
      <c r="T33" s="76"/>
      <c r="U33" s="76"/>
      <c r="V33" s="76"/>
      <c r="W33" s="76"/>
      <c r="X33" s="76"/>
      <c r="Y33" s="76"/>
      <c r="Z33" s="76"/>
      <c r="AA33" s="76"/>
      <c r="AB33" s="76"/>
      <c r="AC33" s="134">
        <f>'3of3'!$B$7</f>
        <v>15</v>
      </c>
      <c r="AD33" s="87"/>
      <c r="AE33" s="137" t="s">
        <v>458</v>
      </c>
      <c r="AF33" s="76"/>
      <c r="AG33" s="76"/>
      <c r="AH33" s="76"/>
      <c r="AI33" s="76"/>
      <c r="AJ33" s="76"/>
      <c r="AK33" s="76"/>
      <c r="AL33" s="76"/>
      <c r="AM33" s="76"/>
      <c r="AN33" s="76"/>
      <c r="AO33" s="76"/>
      <c r="AP33" s="76"/>
      <c r="AQ33" s="76"/>
      <c r="AR33" s="76"/>
      <c r="AS33" s="76"/>
      <c r="AT33" s="76"/>
      <c r="AU33" s="76"/>
      <c r="AV33" s="76"/>
      <c r="AW33" s="76"/>
      <c r="AX33" s="76"/>
    </row>
    <row r="34" spans="2:50" ht="18" customHeight="1">
      <c r="B34" s="76"/>
      <c r="C34" s="77"/>
      <c r="D34" s="77"/>
      <c r="E34" s="80"/>
      <c r="F34" s="76"/>
      <c r="G34" s="76"/>
      <c r="H34" s="80"/>
      <c r="I34" s="76"/>
      <c r="J34" s="310"/>
      <c r="K34" s="76"/>
      <c r="L34" s="76"/>
      <c r="M34" s="76"/>
      <c r="N34" s="76"/>
      <c r="O34" s="76"/>
      <c r="P34" s="76"/>
      <c r="Q34" s="76"/>
      <c r="R34" s="76"/>
      <c r="S34" s="402">
        <f>MIN(Picks!AM:AM)</f>
        <v>5.2954545454545467</v>
      </c>
      <c r="T34" s="76"/>
      <c r="U34" s="76"/>
      <c r="V34" s="76"/>
      <c r="W34" s="76"/>
      <c r="X34" s="76"/>
      <c r="Y34" s="76"/>
      <c r="Z34" s="76"/>
      <c r="AA34" s="76"/>
      <c r="AB34" s="76"/>
      <c r="AC34" s="134">
        <f>'3of3'!$B$8</f>
        <v>3</v>
      </c>
      <c r="AD34" s="87"/>
      <c r="AE34" s="137" t="s">
        <v>459</v>
      </c>
      <c r="AF34" s="76"/>
      <c r="AG34" s="76"/>
      <c r="AH34" s="76"/>
      <c r="AI34" s="76"/>
      <c r="AJ34" s="76"/>
      <c r="AK34" s="76"/>
      <c r="AL34" s="76"/>
      <c r="AM34" s="76"/>
      <c r="AN34" s="76"/>
      <c r="AO34" s="76"/>
      <c r="AP34" s="76"/>
      <c r="AQ34" s="76"/>
      <c r="AR34" s="76"/>
      <c r="AS34" s="76"/>
      <c r="AT34" s="76"/>
      <c r="AU34" s="76"/>
      <c r="AV34" s="76"/>
      <c r="AW34" s="76"/>
      <c r="AX34" s="76"/>
    </row>
    <row r="35" spans="2:50" ht="18" customHeight="1">
      <c r="C35" s="77"/>
      <c r="D35" s="77"/>
      <c r="E35" s="80"/>
      <c r="F35" s="76"/>
      <c r="G35" s="76"/>
      <c r="H35" s="80"/>
      <c r="I35" s="76"/>
      <c r="J35" s="310"/>
      <c r="K35" s="76"/>
      <c r="L35" s="76"/>
      <c r="M35" s="76"/>
      <c r="N35" s="76"/>
      <c r="O35" s="76"/>
      <c r="P35" s="76"/>
      <c r="Q35" s="76"/>
      <c r="R35" s="76"/>
      <c r="S35" s="76"/>
      <c r="T35" s="76"/>
      <c r="U35" s="76"/>
      <c r="V35" s="76"/>
      <c r="W35" s="76"/>
      <c r="X35" s="76"/>
      <c r="Y35" s="76"/>
      <c r="Z35" s="76"/>
      <c r="AA35" s="76"/>
      <c r="AC35" s="87"/>
      <c r="AD35" s="76"/>
      <c r="AE35" s="76"/>
      <c r="AF35" s="76"/>
      <c r="AG35" s="76"/>
      <c r="AH35" s="76"/>
      <c r="AI35" s="76"/>
      <c r="AJ35" s="76"/>
      <c r="AK35" s="76"/>
      <c r="AL35" s="76"/>
      <c r="AM35" s="76"/>
      <c r="AN35" s="76"/>
      <c r="AO35" s="76"/>
      <c r="AP35" s="76"/>
      <c r="AQ35" s="76"/>
      <c r="AR35" s="76"/>
      <c r="AS35" s="76"/>
      <c r="AT35" s="76"/>
      <c r="AU35" s="76"/>
      <c r="AV35" s="76"/>
      <c r="AW35" s="76"/>
    </row>
    <row r="36" spans="2:50" ht="18" customHeight="1">
      <c r="C36" s="77"/>
      <c r="D36" s="77"/>
      <c r="E36" s="80"/>
      <c r="F36" s="76"/>
      <c r="G36" s="76"/>
      <c r="H36" s="80"/>
      <c r="I36" s="76"/>
      <c r="J36" s="310"/>
      <c r="K36" s="76"/>
      <c r="L36" s="76"/>
      <c r="M36" s="76"/>
      <c r="N36" s="76"/>
      <c r="O36" s="76"/>
      <c r="P36" s="76"/>
      <c r="Q36" s="76"/>
      <c r="R36" s="76"/>
      <c r="S36" s="58" t="s">
        <v>416</v>
      </c>
      <c r="T36" s="76"/>
      <c r="U36" s="76"/>
      <c r="V36" s="76"/>
      <c r="W36" s="76"/>
      <c r="X36" s="76"/>
      <c r="Y36" s="76"/>
      <c r="Z36" s="76"/>
      <c r="AA36" s="76"/>
      <c r="AC36" s="87"/>
      <c r="AD36" s="76"/>
      <c r="AE36" s="76"/>
      <c r="AF36" s="76"/>
      <c r="AG36" s="76"/>
      <c r="AH36" s="76"/>
      <c r="AI36" s="76"/>
      <c r="AJ36" s="76"/>
      <c r="AK36" s="76"/>
      <c r="AL36" s="76"/>
      <c r="AM36" s="76"/>
      <c r="AN36" s="76"/>
      <c r="AO36" s="76"/>
      <c r="AP36" s="76"/>
      <c r="AQ36" s="76"/>
      <c r="AR36" s="76"/>
      <c r="AS36" s="76"/>
      <c r="AT36" s="76"/>
      <c r="AU36" s="76"/>
      <c r="AV36" s="76"/>
      <c r="AW36" s="76"/>
    </row>
    <row r="37" spans="2:50" ht="18" customHeight="1">
      <c r="C37" s="77"/>
      <c r="D37" s="77"/>
      <c r="E37" s="80"/>
      <c r="F37" s="76"/>
      <c r="G37" s="76"/>
      <c r="H37" s="80"/>
      <c r="I37" s="76"/>
      <c r="J37" s="310"/>
      <c r="K37" s="76"/>
      <c r="L37" s="76"/>
      <c r="M37" s="76"/>
      <c r="N37" s="76"/>
      <c r="O37" s="76"/>
      <c r="P37" s="76"/>
      <c r="Q37" s="76"/>
      <c r="R37" s="76"/>
      <c r="S37" s="402">
        <f>MAX(Picks!AM:AM)</f>
        <v>78.099999999999994</v>
      </c>
      <c r="T37" s="76"/>
      <c r="U37" s="76"/>
      <c r="V37" s="76"/>
      <c r="W37" s="76"/>
      <c r="X37" s="76"/>
      <c r="Y37" s="76"/>
      <c r="Z37" s="76"/>
      <c r="AA37" s="76"/>
      <c r="AB37" s="76"/>
      <c r="AC37" s="87"/>
      <c r="AD37" s="76"/>
      <c r="AE37" s="76"/>
      <c r="AF37" s="76"/>
      <c r="AG37" s="76"/>
      <c r="AH37" s="76"/>
      <c r="AI37" s="76"/>
      <c r="AJ37" s="76"/>
      <c r="AK37" s="76"/>
      <c r="AL37" s="76"/>
      <c r="AM37" s="76"/>
      <c r="AN37" s="76"/>
      <c r="AO37" s="76"/>
      <c r="AP37" s="76"/>
      <c r="AQ37" s="76"/>
      <c r="AR37" s="76"/>
      <c r="AS37" s="76"/>
      <c r="AT37" s="76"/>
      <c r="AU37" s="76"/>
      <c r="AV37" s="76"/>
      <c r="AW37" s="76"/>
    </row>
    <row r="38" spans="2:50" ht="18" customHeight="1">
      <c r="C38" s="77"/>
      <c r="D38" s="77"/>
      <c r="E38" s="80"/>
      <c r="F38" s="76"/>
      <c r="G38" s="76"/>
      <c r="H38" s="80"/>
      <c r="I38" s="76"/>
      <c r="J38" s="310"/>
      <c r="K38" s="76"/>
      <c r="L38" s="76"/>
      <c r="M38" s="76"/>
      <c r="N38" s="76"/>
      <c r="O38" s="76"/>
      <c r="P38" s="76"/>
      <c r="Q38" s="76"/>
      <c r="R38" s="76"/>
      <c r="S38" s="76"/>
      <c r="T38" s="76"/>
      <c r="U38" s="76"/>
      <c r="V38" s="76"/>
      <c r="W38" s="76"/>
      <c r="X38" s="76"/>
      <c r="Y38" s="76"/>
      <c r="Z38" s="76"/>
      <c r="AA38" s="76"/>
      <c r="AB38" s="76"/>
      <c r="AC38" s="87"/>
      <c r="AD38" s="76"/>
      <c r="AE38" s="76"/>
      <c r="AF38" s="76"/>
      <c r="AG38" s="76"/>
      <c r="AH38" s="76"/>
      <c r="AI38" s="76"/>
      <c r="AJ38" s="76"/>
      <c r="AK38" s="76"/>
      <c r="AL38" s="76"/>
      <c r="AM38" s="76"/>
      <c r="AN38" s="76"/>
      <c r="AO38" s="76"/>
      <c r="AP38" s="76"/>
      <c r="AQ38" s="76"/>
      <c r="AR38" s="76"/>
      <c r="AS38" s="76"/>
      <c r="AT38" s="76"/>
      <c r="AU38" s="76"/>
      <c r="AV38" s="76"/>
      <c r="AW38" s="76"/>
    </row>
    <row r="39" spans="2:50" ht="18" customHeight="1">
      <c r="C39" s="77"/>
      <c r="D39" s="77"/>
      <c r="E39" s="80"/>
      <c r="F39" s="76"/>
      <c r="G39" s="76"/>
      <c r="H39" s="80"/>
      <c r="I39" s="76"/>
      <c r="J39" s="310"/>
      <c r="K39" s="76"/>
      <c r="L39" s="76"/>
      <c r="M39" s="76"/>
      <c r="N39" s="76"/>
      <c r="O39" s="76"/>
      <c r="P39" s="76"/>
      <c r="Q39" s="76"/>
      <c r="R39" s="76"/>
      <c r="S39" s="76" t="s">
        <v>447</v>
      </c>
      <c r="T39" s="498"/>
      <c r="U39" s="498"/>
      <c r="V39" s="499"/>
      <c r="W39" s="76"/>
      <c r="X39" s="76"/>
      <c r="Y39" s="76"/>
      <c r="Z39" s="76"/>
      <c r="AA39" s="76"/>
      <c r="AB39" s="76"/>
      <c r="AC39" s="87"/>
      <c r="AD39" s="76"/>
      <c r="AE39" s="76"/>
      <c r="AF39" s="76"/>
      <c r="AG39" s="76"/>
      <c r="AH39" s="76"/>
      <c r="AI39" s="76"/>
      <c r="AJ39" s="76"/>
      <c r="AK39" s="76"/>
      <c r="AL39" s="76"/>
      <c r="AM39" s="76"/>
      <c r="AN39" s="76"/>
      <c r="AO39" s="76"/>
      <c r="AP39" s="76"/>
      <c r="AQ39" s="76"/>
      <c r="AR39" s="76"/>
      <c r="AS39" s="76"/>
      <c r="AT39" s="76"/>
      <c r="AU39" s="76"/>
      <c r="AV39" s="76"/>
      <c r="AW39" s="76"/>
    </row>
    <row r="40" spans="2:50" ht="18" customHeight="1">
      <c r="C40" s="77"/>
      <c r="D40" s="77"/>
      <c r="E40" s="80"/>
      <c r="F40" s="76"/>
      <c r="G40" s="76"/>
      <c r="H40" s="80"/>
      <c r="I40" s="76"/>
      <c r="J40" s="310"/>
      <c r="K40" s="76"/>
      <c r="L40" s="76"/>
      <c r="M40" s="76"/>
      <c r="N40" s="76"/>
      <c r="O40" s="76"/>
      <c r="P40" s="76"/>
      <c r="Q40" s="76"/>
      <c r="R40" s="76"/>
      <c r="S40" s="497" t="str">
        <f>IF($M$22="","",INDEX(Picks!$A:$A,MATCH($M$22,Picks!$M:$M,0)))</f>
        <v>Alan Rogers</v>
      </c>
      <c r="T40" s="76"/>
      <c r="U40" s="76"/>
      <c r="V40" s="76"/>
      <c r="W40" s="76"/>
      <c r="X40" s="76"/>
      <c r="Y40" s="76"/>
      <c r="Z40" s="76"/>
      <c r="AA40" s="76"/>
      <c r="AB40" s="76"/>
      <c r="AC40" s="87"/>
      <c r="AD40" s="76"/>
      <c r="AE40" s="76"/>
      <c r="AF40" s="76"/>
      <c r="AG40" s="76"/>
      <c r="AH40" s="76"/>
      <c r="AI40" s="76"/>
      <c r="AJ40" s="76"/>
      <c r="AK40" s="76"/>
      <c r="AL40" s="76"/>
      <c r="AM40" s="76"/>
      <c r="AN40" s="76"/>
      <c r="AO40" s="76"/>
      <c r="AP40" s="76"/>
      <c r="AQ40" s="76"/>
      <c r="AR40" s="76"/>
      <c r="AS40" s="76"/>
      <c r="AT40" s="76"/>
      <c r="AU40" s="76"/>
      <c r="AV40" s="76"/>
      <c r="AW40" s="76"/>
    </row>
    <row r="41" spans="2:50" ht="18" customHeight="1">
      <c r="C41" s="77"/>
      <c r="D41" s="77"/>
      <c r="E41" s="80"/>
      <c r="F41" s="76"/>
      <c r="G41" s="76"/>
      <c r="H41" s="80"/>
      <c r="I41" s="76"/>
      <c r="J41" s="310"/>
      <c r="K41" s="76"/>
      <c r="L41" s="76"/>
      <c r="M41" s="76"/>
      <c r="N41" s="76"/>
      <c r="O41" s="76"/>
      <c r="P41" s="76"/>
      <c r="Q41" s="76"/>
      <c r="R41" s="76"/>
      <c r="S41" s="76"/>
      <c r="T41" s="76"/>
      <c r="U41" s="76"/>
      <c r="V41" s="76"/>
      <c r="W41" s="76"/>
      <c r="X41" s="76"/>
      <c r="Y41" s="76"/>
      <c r="Z41" s="76"/>
      <c r="AA41" s="76"/>
      <c r="AB41" s="76"/>
      <c r="AC41" s="87"/>
      <c r="AD41" s="76"/>
      <c r="AE41" s="76"/>
      <c r="AF41" s="76"/>
      <c r="AG41" s="76"/>
      <c r="AH41" s="76"/>
      <c r="AI41" s="76"/>
      <c r="AJ41" s="76"/>
      <c r="AK41" s="76"/>
      <c r="AL41" s="76"/>
      <c r="AM41" s="76"/>
      <c r="AN41" s="76"/>
      <c r="AO41" s="76"/>
      <c r="AP41" s="76"/>
      <c r="AQ41" s="76"/>
      <c r="AR41" s="76"/>
      <c r="AS41" s="76"/>
      <c r="AT41" s="76"/>
      <c r="AU41" s="76"/>
      <c r="AV41" s="76"/>
      <c r="AW41" s="76"/>
    </row>
    <row r="42" spans="2:50" ht="18" customHeight="1">
      <c r="C42" s="77"/>
      <c r="D42" s="77"/>
      <c r="E42" s="80"/>
      <c r="F42" s="76"/>
      <c r="G42" s="76"/>
      <c r="H42" s="80"/>
      <c r="I42" s="76"/>
      <c r="J42" s="310"/>
      <c r="K42" s="76"/>
      <c r="L42" s="76"/>
      <c r="M42" s="76"/>
      <c r="N42" s="76"/>
      <c r="O42" s="76"/>
      <c r="P42" s="76"/>
      <c r="Q42" s="76"/>
      <c r="R42" s="76"/>
      <c r="S42" s="76"/>
      <c r="T42" s="76"/>
      <c r="U42" s="76"/>
      <c r="V42" s="76"/>
      <c r="W42" s="76"/>
      <c r="X42" s="76"/>
      <c r="Y42" s="76"/>
      <c r="Z42" s="76"/>
      <c r="AA42" s="76"/>
      <c r="AB42" s="76"/>
      <c r="AC42" s="87"/>
      <c r="AD42" s="76"/>
      <c r="AE42" s="76"/>
      <c r="AF42" s="76"/>
      <c r="AG42" s="76"/>
      <c r="AH42" s="76"/>
      <c r="AI42" s="76"/>
      <c r="AJ42" s="76"/>
      <c r="AK42" s="76"/>
      <c r="AL42" s="76"/>
      <c r="AM42" s="76"/>
      <c r="AN42" s="76"/>
      <c r="AO42" s="76"/>
      <c r="AP42" s="76"/>
      <c r="AQ42" s="76"/>
      <c r="AR42" s="76"/>
      <c r="AS42" s="76"/>
      <c r="AT42" s="76"/>
      <c r="AU42" s="76"/>
      <c r="AV42" s="76"/>
      <c r="AW42" s="76"/>
    </row>
    <row r="43" spans="2:50" ht="18" customHeight="1">
      <c r="C43" s="77"/>
      <c r="D43" s="77"/>
      <c r="E43" s="80"/>
      <c r="F43" s="76"/>
      <c r="G43" s="76"/>
      <c r="H43" s="80"/>
      <c r="I43" s="76"/>
      <c r="J43" s="310"/>
      <c r="K43" s="76"/>
      <c r="L43" s="76"/>
      <c r="M43" s="76"/>
      <c r="N43" s="76"/>
      <c r="O43" s="76"/>
      <c r="P43" s="76"/>
      <c r="Q43" s="76"/>
      <c r="R43" s="76"/>
      <c r="S43" s="76"/>
      <c r="T43" s="76"/>
      <c r="U43" s="76"/>
      <c r="V43" s="76"/>
      <c r="W43" s="76"/>
      <c r="X43" s="76"/>
      <c r="Y43" s="76"/>
      <c r="Z43" s="76"/>
      <c r="AA43" s="76"/>
      <c r="AB43" s="76"/>
      <c r="AC43" s="87"/>
      <c r="AD43" s="76"/>
      <c r="AE43" s="76"/>
      <c r="AF43" s="76"/>
      <c r="AG43" s="76"/>
      <c r="AH43" s="76"/>
      <c r="AI43" s="76"/>
      <c r="AJ43" s="76"/>
      <c r="AK43" s="76"/>
      <c r="AL43" s="76"/>
      <c r="AM43" s="76"/>
      <c r="AN43" s="76"/>
      <c r="AO43" s="76"/>
      <c r="AP43" s="76"/>
      <c r="AQ43" s="76"/>
      <c r="AR43" s="76"/>
      <c r="AS43" s="76"/>
      <c r="AT43" s="76"/>
      <c r="AU43" s="76"/>
      <c r="AV43" s="76"/>
      <c r="AW43" s="76"/>
    </row>
    <row r="44" spans="2:50" ht="18" customHeight="1">
      <c r="C44" s="77"/>
      <c r="D44" s="77"/>
      <c r="E44" s="80"/>
      <c r="F44" s="76"/>
      <c r="G44" s="76"/>
      <c r="H44" s="80"/>
      <c r="I44" s="76"/>
      <c r="J44" s="310"/>
      <c r="K44" s="76"/>
      <c r="L44" s="76"/>
      <c r="M44" s="76"/>
      <c r="N44" s="76"/>
      <c r="O44" s="76"/>
      <c r="P44" s="76"/>
      <c r="Q44" s="76"/>
      <c r="R44" s="76"/>
      <c r="S44" s="76"/>
      <c r="T44" s="76"/>
      <c r="U44" s="76"/>
      <c r="V44" s="76"/>
      <c r="W44" s="76"/>
      <c r="X44" s="76"/>
      <c r="Y44" s="76"/>
      <c r="Z44" s="76"/>
      <c r="AA44" s="76"/>
      <c r="AB44" s="76"/>
      <c r="AC44" s="87"/>
      <c r="AD44" s="76"/>
      <c r="AE44" s="76"/>
      <c r="AF44" s="76"/>
      <c r="AG44" s="76"/>
      <c r="AH44" s="76"/>
      <c r="AI44" s="76"/>
      <c r="AJ44" s="76"/>
      <c r="AK44" s="76"/>
      <c r="AL44" s="76"/>
      <c r="AM44" s="76"/>
      <c r="AN44" s="76"/>
      <c r="AO44" s="76"/>
      <c r="AP44" s="76"/>
      <c r="AQ44" s="76"/>
      <c r="AR44" s="76"/>
      <c r="AS44" s="76"/>
      <c r="AT44" s="76"/>
      <c r="AU44" s="76"/>
      <c r="AV44" s="76"/>
      <c r="AW44" s="76"/>
    </row>
    <row r="45" spans="2:50" ht="18" customHeight="1">
      <c r="C45" s="77"/>
      <c r="D45" s="77"/>
      <c r="E45" s="80"/>
      <c r="F45" s="76"/>
      <c r="G45" s="76"/>
      <c r="H45" s="80"/>
      <c r="I45" s="76"/>
      <c r="J45" s="310"/>
      <c r="K45" s="76"/>
      <c r="L45" s="76"/>
      <c r="M45" s="76"/>
      <c r="N45" s="76"/>
      <c r="O45" s="76"/>
      <c r="P45" s="76"/>
      <c r="Q45" s="76"/>
      <c r="R45" s="76"/>
      <c r="S45" s="76"/>
      <c r="T45" s="76"/>
      <c r="U45" s="76"/>
      <c r="V45" s="76"/>
      <c r="W45" s="76"/>
      <c r="X45" s="76"/>
      <c r="Y45" s="76"/>
      <c r="Z45" s="76"/>
      <c r="AA45" s="76"/>
      <c r="AB45" s="76"/>
      <c r="AC45" s="87"/>
      <c r="AD45" s="76"/>
      <c r="AE45" s="76"/>
      <c r="AF45" s="76"/>
      <c r="AG45" s="76"/>
      <c r="AH45" s="76"/>
      <c r="AI45" s="76"/>
      <c r="AJ45" s="76"/>
      <c r="AK45" s="76"/>
      <c r="AL45" s="76"/>
      <c r="AM45" s="76"/>
      <c r="AN45" s="76"/>
      <c r="AO45" s="76"/>
      <c r="AP45" s="76"/>
      <c r="AQ45" s="76"/>
      <c r="AR45" s="76"/>
      <c r="AS45" s="76"/>
      <c r="AT45" s="76"/>
      <c r="AU45" s="76"/>
      <c r="AV45" s="76"/>
      <c r="AW45" s="76"/>
    </row>
    <row r="46" spans="2:50" ht="18" customHeight="1">
      <c r="C46" s="77"/>
      <c r="D46" s="77"/>
      <c r="E46" s="80"/>
      <c r="F46" s="76"/>
      <c r="G46" s="76"/>
      <c r="H46" s="80"/>
      <c r="I46" s="76"/>
      <c r="J46" s="310"/>
      <c r="K46" s="76"/>
      <c r="L46" s="76"/>
      <c r="M46" s="76"/>
      <c r="N46" s="76"/>
      <c r="O46" s="76"/>
      <c r="P46" s="76"/>
      <c r="Q46" s="76"/>
      <c r="R46" s="76"/>
      <c r="S46" s="76"/>
      <c r="T46" s="76"/>
      <c r="U46" s="76"/>
      <c r="V46" s="76"/>
      <c r="W46" s="76"/>
      <c r="X46" s="76"/>
      <c r="Y46" s="76"/>
      <c r="Z46" s="76"/>
      <c r="AA46" s="76"/>
      <c r="AB46" s="76"/>
      <c r="AC46" s="87"/>
      <c r="AD46" s="76"/>
      <c r="AE46" s="76"/>
      <c r="AF46" s="76"/>
      <c r="AG46" s="76"/>
      <c r="AH46" s="76"/>
      <c r="AI46" s="76"/>
      <c r="AJ46" s="76"/>
      <c r="AK46" s="76"/>
      <c r="AL46" s="76"/>
      <c r="AM46" s="76"/>
      <c r="AN46" s="76"/>
      <c r="AO46" s="76"/>
      <c r="AP46" s="76"/>
      <c r="AQ46" s="76"/>
      <c r="AR46" s="76"/>
      <c r="AS46" s="76"/>
      <c r="AT46" s="76"/>
      <c r="AU46" s="76"/>
      <c r="AV46" s="76"/>
      <c r="AW46" s="76"/>
    </row>
    <row r="47" spans="2:50" ht="18" customHeight="1">
      <c r="C47" s="77"/>
      <c r="D47" s="77"/>
      <c r="E47" s="80"/>
      <c r="F47" s="76"/>
      <c r="G47" s="76"/>
      <c r="H47" s="80"/>
      <c r="I47" s="76"/>
      <c r="J47" s="310"/>
      <c r="K47" s="76"/>
      <c r="L47" s="76"/>
      <c r="M47" s="76"/>
      <c r="N47" s="76"/>
      <c r="O47" s="76"/>
      <c r="P47" s="76"/>
      <c r="Q47" s="76"/>
      <c r="R47" s="76"/>
      <c r="S47" s="76"/>
      <c r="T47" s="76"/>
      <c r="U47" s="76"/>
      <c r="V47" s="76"/>
      <c r="W47" s="76"/>
      <c r="X47" s="76"/>
      <c r="Y47" s="76"/>
      <c r="Z47" s="76"/>
      <c r="AA47" s="76"/>
      <c r="AB47" s="76"/>
      <c r="AC47" s="87"/>
      <c r="AD47" s="76"/>
      <c r="AE47" s="76"/>
      <c r="AF47" s="76"/>
      <c r="AG47" s="76"/>
      <c r="AH47" s="76"/>
      <c r="AI47" s="76"/>
      <c r="AJ47" s="76"/>
      <c r="AK47" s="76"/>
      <c r="AL47" s="76"/>
      <c r="AM47" s="76"/>
      <c r="AN47" s="76"/>
      <c r="AO47" s="76"/>
      <c r="AP47" s="76"/>
      <c r="AQ47" s="76"/>
      <c r="AR47" s="76"/>
      <c r="AS47" s="76"/>
      <c r="AT47" s="76"/>
      <c r="AU47" s="76"/>
      <c r="AV47" s="76"/>
      <c r="AW47" s="76"/>
    </row>
    <row r="48" spans="2:50" ht="18" customHeight="1">
      <c r="C48" s="77"/>
      <c r="D48" s="77"/>
      <c r="E48" s="80"/>
      <c r="F48" s="76"/>
      <c r="G48" s="76"/>
      <c r="H48" s="80"/>
      <c r="J48" s="310"/>
      <c r="K48" s="76"/>
      <c r="L48" s="76"/>
      <c r="M48" s="76"/>
      <c r="N48" s="76"/>
      <c r="O48" s="76"/>
      <c r="P48" s="76"/>
      <c r="Q48" s="76"/>
      <c r="R48" s="76"/>
      <c r="S48" s="76"/>
      <c r="T48" s="76"/>
      <c r="U48" s="76"/>
      <c r="V48" s="76"/>
      <c r="W48" s="76"/>
      <c r="X48" s="76"/>
      <c r="Y48" s="76"/>
      <c r="Z48" s="76"/>
      <c r="AA48" s="76"/>
      <c r="AB48" s="76"/>
      <c r="AC48" s="87"/>
      <c r="AD48" s="76"/>
      <c r="AE48" s="76"/>
      <c r="AF48" s="76"/>
      <c r="AG48" s="76"/>
      <c r="AH48" s="76"/>
      <c r="AI48" s="76"/>
      <c r="AJ48" s="76"/>
      <c r="AK48" s="76"/>
      <c r="AL48" s="76"/>
      <c r="AM48" s="76"/>
      <c r="AN48" s="76"/>
      <c r="AO48" s="76"/>
      <c r="AP48" s="76"/>
      <c r="AQ48" s="76"/>
      <c r="AR48" s="76"/>
      <c r="AS48" s="76"/>
      <c r="AT48" s="76"/>
      <c r="AU48" s="76"/>
      <c r="AV48" s="76"/>
      <c r="AW48" s="76"/>
    </row>
    <row r="49" spans="3:49" ht="18" customHeight="1">
      <c r="C49" s="77"/>
      <c r="D49" s="77"/>
      <c r="E49" s="80"/>
      <c r="F49" s="76"/>
      <c r="G49" s="76"/>
      <c r="H49" s="80"/>
      <c r="J49" s="310"/>
      <c r="K49" s="76"/>
      <c r="L49" s="76"/>
      <c r="M49" s="76"/>
      <c r="N49" s="76"/>
      <c r="O49" s="76"/>
      <c r="P49" s="76"/>
      <c r="Q49" s="76"/>
      <c r="R49" s="76"/>
      <c r="S49" s="76"/>
      <c r="T49" s="76"/>
      <c r="U49" s="76"/>
      <c r="V49" s="76"/>
      <c r="W49" s="76"/>
      <c r="X49" s="76"/>
      <c r="Y49" s="76"/>
      <c r="Z49" s="76"/>
      <c r="AA49" s="76"/>
      <c r="AB49" s="76"/>
      <c r="AC49" s="87"/>
      <c r="AD49" s="76"/>
      <c r="AE49" s="76"/>
      <c r="AF49" s="76"/>
      <c r="AG49" s="76"/>
      <c r="AH49" s="76"/>
      <c r="AI49" s="76"/>
      <c r="AJ49" s="76"/>
      <c r="AK49" s="76"/>
      <c r="AL49" s="76"/>
      <c r="AM49" s="76"/>
      <c r="AN49" s="76"/>
      <c r="AO49" s="76"/>
      <c r="AP49" s="76"/>
      <c r="AQ49" s="76"/>
      <c r="AR49" s="76"/>
      <c r="AS49" s="76"/>
      <c r="AT49" s="76"/>
      <c r="AU49" s="76"/>
      <c r="AV49" s="76"/>
      <c r="AW49" s="76"/>
    </row>
    <row r="50" spans="3:49" ht="18" customHeight="1">
      <c r="C50" s="77"/>
      <c r="D50" s="77"/>
      <c r="E50" s="80"/>
      <c r="F50" s="76"/>
      <c r="G50" s="76"/>
      <c r="H50" s="80"/>
      <c r="J50" s="310"/>
      <c r="K50" s="76"/>
      <c r="L50" s="76"/>
      <c r="M50" s="76"/>
      <c r="N50" s="76"/>
      <c r="O50" s="76"/>
      <c r="P50" s="76"/>
      <c r="Q50" s="76"/>
      <c r="R50" s="76"/>
      <c r="S50" s="76"/>
      <c r="T50" s="76"/>
      <c r="U50" s="76"/>
      <c r="V50" s="76"/>
      <c r="W50" s="76"/>
      <c r="X50" s="76"/>
      <c r="Y50" s="76"/>
      <c r="Z50" s="76"/>
      <c r="AA50" s="76"/>
      <c r="AB50" s="76"/>
      <c r="AC50" s="87"/>
      <c r="AD50" s="76"/>
      <c r="AE50" s="76"/>
      <c r="AF50" s="76"/>
      <c r="AG50" s="76"/>
      <c r="AH50" s="76"/>
      <c r="AI50" s="76"/>
      <c r="AJ50" s="76"/>
      <c r="AK50" s="76"/>
      <c r="AL50" s="76"/>
      <c r="AM50" s="76"/>
      <c r="AN50" s="76"/>
      <c r="AO50" s="76"/>
      <c r="AP50" s="76"/>
      <c r="AQ50" s="76"/>
      <c r="AR50" s="76"/>
      <c r="AS50" s="76"/>
      <c r="AT50" s="76"/>
      <c r="AU50" s="76"/>
      <c r="AV50" s="76"/>
      <c r="AW50" s="76"/>
    </row>
    <row r="51" spans="3:49" ht="18" customHeight="1">
      <c r="C51" s="77"/>
      <c r="D51" s="77"/>
      <c r="E51" s="80"/>
      <c r="F51" s="76"/>
      <c r="G51" s="76"/>
      <c r="H51" s="80"/>
      <c r="J51" s="311"/>
      <c r="K51" s="76"/>
      <c r="L51" s="76"/>
      <c r="M51" s="76"/>
      <c r="N51" s="76"/>
      <c r="O51" s="76"/>
      <c r="P51" s="76"/>
      <c r="Q51" s="76"/>
      <c r="R51" s="76"/>
      <c r="S51" s="76"/>
      <c r="T51" s="76"/>
      <c r="U51" s="76"/>
      <c r="V51" s="76"/>
      <c r="W51" s="76"/>
      <c r="X51" s="76"/>
      <c r="Y51" s="76"/>
      <c r="Z51" s="76"/>
      <c r="AA51" s="76"/>
      <c r="AB51" s="76"/>
      <c r="AC51" s="87"/>
      <c r="AD51" s="76"/>
      <c r="AE51" s="76"/>
      <c r="AF51" s="76"/>
      <c r="AG51" s="76"/>
      <c r="AH51" s="76"/>
      <c r="AI51" s="76"/>
      <c r="AJ51" s="76"/>
      <c r="AK51" s="76"/>
      <c r="AL51" s="76"/>
    </row>
    <row r="52" spans="3:49" ht="18" customHeight="1">
      <c r="K52" s="76"/>
      <c r="L52" s="76"/>
      <c r="M52" s="76"/>
      <c r="N52" s="76"/>
      <c r="O52" s="76"/>
      <c r="P52" s="76"/>
      <c r="Q52" s="76"/>
      <c r="R52" s="76"/>
      <c r="S52" s="76"/>
      <c r="T52" s="76"/>
      <c r="U52" s="76"/>
      <c r="V52" s="76"/>
      <c r="W52" s="76"/>
      <c r="X52" s="76"/>
      <c r="Y52" s="76"/>
      <c r="Z52" s="76"/>
      <c r="AA52" s="76"/>
      <c r="AB52" s="76"/>
      <c r="AC52" s="87"/>
      <c r="AD52" s="76"/>
      <c r="AE52" s="76"/>
      <c r="AF52" s="76"/>
      <c r="AG52" s="76"/>
      <c r="AH52" s="76"/>
      <c r="AI52" s="76"/>
      <c r="AJ52" s="76"/>
      <c r="AK52" s="76"/>
      <c r="AL52" s="76"/>
    </row>
    <row r="53" spans="3:49" ht="18" customHeight="1">
      <c r="K53" s="76"/>
      <c r="L53" s="76"/>
      <c r="M53" s="76"/>
      <c r="N53" s="76"/>
      <c r="O53" s="76"/>
      <c r="P53" s="76"/>
      <c r="Q53" s="76"/>
      <c r="R53" s="76"/>
      <c r="S53" s="76"/>
      <c r="T53" s="76"/>
      <c r="U53" s="76"/>
      <c r="V53" s="76"/>
      <c r="W53" s="76"/>
      <c r="X53" s="76"/>
      <c r="Y53" s="76"/>
      <c r="Z53" s="76"/>
      <c r="AA53" s="76"/>
      <c r="AB53" s="76"/>
      <c r="AC53" s="87"/>
      <c r="AD53" s="76"/>
      <c r="AE53" s="76"/>
      <c r="AF53" s="76"/>
      <c r="AG53" s="76"/>
      <c r="AH53" s="76"/>
      <c r="AI53" s="76"/>
      <c r="AJ53" s="76"/>
      <c r="AK53" s="76"/>
    </row>
    <row r="54" spans="3:49" ht="18" customHeight="1">
      <c r="K54" s="76"/>
      <c r="L54" s="76"/>
      <c r="M54" s="76"/>
      <c r="N54" s="76"/>
      <c r="O54" s="76"/>
      <c r="P54" s="76"/>
      <c r="Q54" s="76"/>
      <c r="R54" s="76"/>
      <c r="S54" s="76"/>
      <c r="AB54" s="76"/>
    </row>
    <row r="55" spans="3:49" ht="18" customHeight="1">
      <c r="K55" s="76"/>
      <c r="L55" s="76"/>
      <c r="M55" s="76"/>
      <c r="N55" s="76"/>
      <c r="O55" s="76"/>
      <c r="P55" s="76"/>
      <c r="Q55" s="76"/>
      <c r="R55" s="76"/>
      <c r="S55" s="76"/>
      <c r="AB55" s="76"/>
    </row>
    <row r="56" spans="3:49" ht="18" customHeight="1">
      <c r="K56" s="76"/>
      <c r="L56" s="76"/>
      <c r="M56" s="76"/>
      <c r="N56" s="76"/>
      <c r="O56" s="76"/>
      <c r="P56" s="76"/>
      <c r="Q56" s="76"/>
      <c r="R56" s="76"/>
      <c r="S56" s="76"/>
    </row>
    <row r="57" spans="3:49" ht="18" customHeight="1">
      <c r="K57" s="76"/>
      <c r="L57" s="76"/>
      <c r="M57" s="76"/>
      <c r="N57" s="76"/>
      <c r="O57" s="76"/>
      <c r="P57" s="76"/>
      <c r="Q57" s="76"/>
      <c r="R57" s="76"/>
      <c r="S57" s="76"/>
    </row>
    <row r="58" spans="3:49" ht="18" customHeight="1"/>
    <row r="59" spans="3:49" ht="18" customHeight="1"/>
    <row r="60" spans="3:49" ht="18" customHeight="1"/>
    <row r="61" spans="3:49" ht="18" customHeight="1"/>
    <row r="62" spans="3:49" ht="18" customHeight="1"/>
    <row r="63" spans="3:49" ht="18" customHeight="1"/>
    <row r="64" spans="3:49"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sheetData>
  <mergeCells count="49">
    <mergeCell ref="AB4:AC4"/>
    <mergeCell ref="AE4:AF4"/>
    <mergeCell ref="AB3:AI3"/>
    <mergeCell ref="O18:Q18"/>
    <mergeCell ref="L13:M13"/>
    <mergeCell ref="L4:M4"/>
    <mergeCell ref="B23:B28"/>
    <mergeCell ref="D3:H3"/>
    <mergeCell ref="B5:B10"/>
    <mergeCell ref="B11:B16"/>
    <mergeCell ref="B17:B22"/>
    <mergeCell ref="O19:Q19"/>
    <mergeCell ref="L10:M10"/>
    <mergeCell ref="L11:M11"/>
    <mergeCell ref="L12:M12"/>
    <mergeCell ref="L5:M5"/>
    <mergeCell ref="L7:M7"/>
    <mergeCell ref="AN3:AQ3"/>
    <mergeCell ref="K31:L31"/>
    <mergeCell ref="N31:P31"/>
    <mergeCell ref="Q31:S31"/>
    <mergeCell ref="K30:L30"/>
    <mergeCell ref="M18:N18"/>
    <mergeCell ref="N30:P30"/>
    <mergeCell ref="Q30:S30"/>
    <mergeCell ref="R21:S21"/>
    <mergeCell ref="K29:L29"/>
    <mergeCell ref="M26:N26"/>
    <mergeCell ref="M28:S28"/>
    <mergeCell ref="N29:P29"/>
    <mergeCell ref="AH4:AI4"/>
    <mergeCell ref="AK4:AL4"/>
    <mergeCell ref="R22:S22"/>
    <mergeCell ref="Q24:S24"/>
    <mergeCell ref="R25:S25"/>
    <mergeCell ref="R26:S26"/>
    <mergeCell ref="Q29:S29"/>
    <mergeCell ref="K3:S3"/>
    <mergeCell ref="L9:M9"/>
    <mergeCell ref="M21:N21"/>
    <mergeCell ref="O21:Q21"/>
    <mergeCell ref="O20:Q20"/>
    <mergeCell ref="L14:M14"/>
    <mergeCell ref="L15:M15"/>
    <mergeCell ref="L16:M16"/>
    <mergeCell ref="L8:M8"/>
    <mergeCell ref="O22:Q22"/>
    <mergeCell ref="M25:N25"/>
    <mergeCell ref="L6:M6"/>
  </mergeCells>
  <dataValidations count="1">
    <dataValidation type="list" allowBlank="1" showInputMessage="1" showErrorMessage="1" sqref="M19:M20 O19:Q20 M22" xr:uid="{AD39DFB4-3608-4F3B-8EC5-53086BCCF147}">
      <formula1>choices</formula1>
    </dataValidation>
  </dataValidations>
  <hyperlinks>
    <hyperlink ref="B2" location="Menu!A1" display="Menu!A1" xr:uid="{00000000-0004-0000-0F00-000000000000}"/>
    <hyperlink ref="B1" location="Menu!A1" display="Menu!A1" xr:uid="{7E685012-E9EA-4285-9826-13F4B2B262E9}"/>
  </hyperlinks>
  <pageMargins left="0.70866141732283472" right="0.70866141732283472" top="0.74803149606299213" bottom="0.74803149606299213" header="0.31496062992125984" footer="0.31496062992125984"/>
  <pageSetup paperSize="9" scale="56"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7">
    <pageSetUpPr fitToPage="1"/>
  </sheetPr>
  <dimension ref="A1:V157"/>
  <sheetViews>
    <sheetView topLeftCell="A18" workbookViewId="0">
      <selection activeCell="F35" sqref="F35"/>
    </sheetView>
  </sheetViews>
  <sheetFormatPr defaultRowHeight="12.75"/>
  <cols>
    <col min="1" max="1" width="2.73046875" customWidth="1"/>
    <col min="2" max="2" width="20" customWidth="1"/>
    <col min="3" max="3" width="4.59765625" customWidth="1"/>
    <col min="6" max="6" width="10.86328125" customWidth="1"/>
    <col min="7" max="7" width="3.1328125" customWidth="1"/>
    <col min="8" max="8" width="8.86328125" customWidth="1"/>
    <col min="9" max="10" width="9.1328125" customWidth="1"/>
    <col min="11" max="11" width="8.73046875" customWidth="1"/>
  </cols>
  <sheetData>
    <row r="1" spans="1:22" ht="29.1" customHeight="1">
      <c r="A1" s="336" t="s">
        <v>331</v>
      </c>
      <c r="B1" s="532" t="str">
        <f>"Round "&amp;CurrentWeek</f>
        <v>Round 06</v>
      </c>
      <c r="C1" s="76"/>
      <c r="D1" s="76"/>
      <c r="E1" s="76"/>
      <c r="F1" s="76"/>
      <c r="G1" s="76"/>
      <c r="H1" s="76"/>
      <c r="I1" s="76"/>
      <c r="J1" s="76"/>
      <c r="K1" s="76"/>
      <c r="L1" s="76"/>
      <c r="M1" s="76"/>
      <c r="N1" s="76"/>
      <c r="O1" s="76"/>
      <c r="P1" s="76"/>
      <c r="Q1" s="76"/>
      <c r="R1" s="76"/>
    </row>
    <row r="2" spans="1:22">
      <c r="A2" s="76"/>
      <c r="B2" s="76"/>
      <c r="C2" s="76"/>
      <c r="D2" s="150"/>
      <c r="E2" s="150"/>
      <c r="F2" s="150" t="s">
        <v>25</v>
      </c>
      <c r="G2" s="80"/>
      <c r="H2" s="80"/>
      <c r="I2" s="80"/>
      <c r="J2" s="80"/>
      <c r="K2" s="154" t="s">
        <v>166</v>
      </c>
      <c r="L2" s="154" t="s">
        <v>167</v>
      </c>
      <c r="M2" s="154" t="s">
        <v>168</v>
      </c>
      <c r="N2" s="154" t="s">
        <v>169</v>
      </c>
      <c r="O2" s="154" t="s">
        <v>170</v>
      </c>
      <c r="P2" s="154" t="s">
        <v>171</v>
      </c>
      <c r="Q2" s="154" t="s">
        <v>172</v>
      </c>
      <c r="R2" s="76"/>
    </row>
    <row r="3" spans="1:22">
      <c r="A3" s="76"/>
      <c r="B3" s="310">
        <f>COUNTIF($B4:$B6,"")</f>
        <v>0</v>
      </c>
      <c r="C3" s="76"/>
      <c r="D3" s="151" t="s">
        <v>153</v>
      </c>
      <c r="E3" s="151" t="s">
        <v>154</v>
      </c>
      <c r="F3" s="152" t="s">
        <v>13</v>
      </c>
      <c r="G3" s="80"/>
      <c r="H3" s="147" t="e">
        <f>E4</f>
        <v>#N/A</v>
      </c>
      <c r="I3" s="147" t="e">
        <f>E5</f>
        <v>#N/A</v>
      </c>
      <c r="J3" s="147" t="e">
        <f>E6</f>
        <v>#N/A</v>
      </c>
      <c r="K3" s="531" t="e">
        <f>IF(B3&lt;&gt;0,"",H3)</f>
        <v>#N/A</v>
      </c>
      <c r="L3" s="148" t="e">
        <f>IF(B3&lt;&gt;0,"",I3)</f>
        <v>#N/A</v>
      </c>
      <c r="M3" s="148" t="e">
        <f>IF(B3&lt;&gt;0,"",J3)</f>
        <v>#N/A</v>
      </c>
      <c r="N3" s="531" t="e">
        <f>IF(B3&lt;&gt;0,"",H3*I3)</f>
        <v>#N/A</v>
      </c>
      <c r="O3" s="148" t="e">
        <f>IF(B3&lt;&gt;0,"",I3*J3)</f>
        <v>#N/A</v>
      </c>
      <c r="P3" s="148" t="e">
        <f>IF(B3&lt;&gt;0,"",H3*J3)</f>
        <v>#N/A</v>
      </c>
      <c r="Q3" s="148" t="e">
        <f>IF(B3&lt;&gt;0,"",N3*J3)</f>
        <v>#N/A</v>
      </c>
      <c r="R3" s="76"/>
    </row>
    <row r="4" spans="1:22" ht="16.149999999999999" thickBot="1">
      <c r="A4" s="533">
        <v>1</v>
      </c>
      <c r="B4" s="89" t="s">
        <v>528</v>
      </c>
      <c r="C4" s="153" t="s">
        <v>176</v>
      </c>
      <c r="D4" s="530" t="e">
        <f>IF(B3&lt;&gt;0,"",INDEX(Odds!H:H,MATCH(B4,Odds!G:G,0)))</f>
        <v>#N/A</v>
      </c>
      <c r="E4" s="531" t="e">
        <f>IF(B3&lt;&gt;0,"",INDEX(Odds!I:I,MATCH(B4,Odds!G:G,0)))</f>
        <v>#N/A</v>
      </c>
      <c r="F4" s="146">
        <v>1</v>
      </c>
      <c r="G4" s="80"/>
      <c r="H4" s="80"/>
      <c r="I4" s="80"/>
      <c r="J4" s="80"/>
      <c r="K4" s="80"/>
      <c r="L4" s="80"/>
      <c r="M4" s="80"/>
      <c r="N4" s="357" t="s">
        <v>476</v>
      </c>
      <c r="O4" s="357" t="s">
        <v>475</v>
      </c>
      <c r="P4" s="357" t="s">
        <v>477</v>
      </c>
      <c r="Q4" s="357" t="s">
        <v>478</v>
      </c>
      <c r="R4" s="76"/>
    </row>
    <row r="5" spans="1:22" ht="15.75">
      <c r="A5" s="533">
        <v>2</v>
      </c>
      <c r="B5" s="89" t="s">
        <v>533</v>
      </c>
      <c r="C5" s="153" t="s">
        <v>176</v>
      </c>
      <c r="D5" s="530" t="e">
        <f>IF(B3&lt;&gt;0,"",INDEX(Odds!H:H,MATCH(B5,Odds!G:G,0)))</f>
        <v>#N/A</v>
      </c>
      <c r="E5" s="531" t="e">
        <f>IF(B3&lt;&gt;0,"",INDEX(Odds!I:I,MATCH(B5,Odds!G:G,0)))</f>
        <v>#N/A</v>
      </c>
      <c r="F5" s="146">
        <v>1</v>
      </c>
      <c r="G5" s="80"/>
      <c r="H5" s="80"/>
      <c r="I5" s="80"/>
      <c r="J5" s="80"/>
      <c r="K5" s="5" t="s">
        <v>13</v>
      </c>
      <c r="L5" s="5" t="s">
        <v>28</v>
      </c>
      <c r="M5" s="76"/>
      <c r="N5" s="76"/>
      <c r="O5" s="80"/>
      <c r="P5" s="80"/>
      <c r="Q5" s="80"/>
      <c r="R5" s="76"/>
    </row>
    <row r="6" spans="1:22" ht="16.149999999999999" thickBot="1">
      <c r="A6" s="533">
        <v>3</v>
      </c>
      <c r="B6" s="89" t="s">
        <v>409</v>
      </c>
      <c r="C6" s="153" t="s">
        <v>176</v>
      </c>
      <c r="D6" s="530" t="e">
        <f>IF(B3&lt;&gt;0,"",INDEX(Odds!H:H,MATCH(B6,Odds!G:G,0)))</f>
        <v>#N/A</v>
      </c>
      <c r="E6" s="531" t="e">
        <f>IF(B3&lt;&gt;0,"",INDEX(Odds!I:I,MATCH(B6,Odds!G:G,0)))</f>
        <v>#N/A</v>
      </c>
      <c r="F6" s="146">
        <v>1</v>
      </c>
      <c r="G6" s="80"/>
      <c r="H6" s="80"/>
      <c r="I6" s="80"/>
      <c r="J6" s="80"/>
      <c r="K6" s="6">
        <f>IF(B3&lt;&gt;0,"",SUM(F4:F6))</f>
        <v>3</v>
      </c>
      <c r="L6" s="7" t="e">
        <f>IF(B3&lt;&gt;0,"",SUM(K3:Q3)-7)</f>
        <v>#N/A</v>
      </c>
      <c r="M6" s="76"/>
      <c r="N6" s="76"/>
      <c r="O6" s="80"/>
      <c r="P6" s="80"/>
      <c r="Q6" s="80"/>
      <c r="R6" s="76"/>
    </row>
    <row r="7" spans="1:22">
      <c r="A7" s="76"/>
      <c r="B7" s="76"/>
      <c r="C7" s="76"/>
      <c r="D7" s="80"/>
      <c r="E7" s="531" t="str">
        <f>IF(B4&lt;&gt;0,"",INDEX(Odds!I:I,MATCH(B7,Odds!G:G,0)))</f>
        <v/>
      </c>
      <c r="F7" s="80"/>
      <c r="G7" s="80"/>
      <c r="H7" s="76"/>
      <c r="I7" s="76"/>
      <c r="J7" s="80"/>
      <c r="K7" s="80"/>
      <c r="L7" s="80"/>
      <c r="M7" s="80"/>
      <c r="N7" s="80"/>
      <c r="O7" s="80"/>
      <c r="P7" s="80"/>
      <c r="Q7" s="80"/>
      <c r="R7" s="80"/>
    </row>
    <row r="8" spans="1:22">
      <c r="A8" s="76"/>
      <c r="B8" s="76"/>
      <c r="C8" s="76"/>
      <c r="D8" s="80"/>
      <c r="E8" s="80"/>
      <c r="F8" s="80"/>
      <c r="G8" s="80"/>
      <c r="H8" s="76"/>
      <c r="I8" s="76"/>
      <c r="J8" s="80"/>
      <c r="K8" s="80"/>
      <c r="L8" s="80"/>
      <c r="M8" s="80"/>
      <c r="N8" s="80"/>
      <c r="O8" s="80"/>
      <c r="P8" s="80"/>
      <c r="Q8" s="80"/>
      <c r="R8" s="80"/>
    </row>
    <row r="9" spans="1:22">
      <c r="A9" s="76"/>
      <c r="B9" s="76"/>
      <c r="C9" s="76"/>
      <c r="D9" s="150" t="s">
        <v>173</v>
      </c>
      <c r="E9" s="150" t="s">
        <v>173</v>
      </c>
      <c r="F9" s="150" t="s">
        <v>25</v>
      </c>
      <c r="G9" s="80"/>
      <c r="H9" s="80"/>
      <c r="I9" s="80"/>
      <c r="J9" s="80"/>
      <c r="K9" s="154" t="s">
        <v>166</v>
      </c>
      <c r="L9" s="154" t="s">
        <v>167</v>
      </c>
      <c r="M9" s="154" t="s">
        <v>168</v>
      </c>
      <c r="N9" s="154" t="s">
        <v>169</v>
      </c>
      <c r="O9" s="154" t="s">
        <v>170</v>
      </c>
      <c r="P9" s="154" t="s">
        <v>171</v>
      </c>
      <c r="Q9" s="154" t="s">
        <v>172</v>
      </c>
      <c r="R9" s="80"/>
    </row>
    <row r="10" spans="1:22">
      <c r="A10" s="76"/>
      <c r="B10" s="76"/>
      <c r="C10" s="76"/>
      <c r="D10" s="152" t="s">
        <v>26</v>
      </c>
      <c r="E10" s="152" t="s">
        <v>27</v>
      </c>
      <c r="F10" s="152" t="s">
        <v>13</v>
      </c>
      <c r="G10" s="80"/>
      <c r="H10" s="147">
        <f>IF(F11=0,0,E11)</f>
        <v>0</v>
      </c>
      <c r="I10" s="147" t="e">
        <f>IF(F12=0,0,E12)</f>
        <v>#N/A</v>
      </c>
      <c r="J10" s="147" t="e">
        <f>IF(F13=0,0,E13)</f>
        <v>#N/A</v>
      </c>
      <c r="K10" s="531">
        <f>IF(B10&lt;&gt;0,"",H10)</f>
        <v>0</v>
      </c>
      <c r="L10" s="148" t="e">
        <f>IF(B10&lt;&gt;0,"",I10)</f>
        <v>#N/A</v>
      </c>
      <c r="M10" s="148" t="e">
        <f>IF(B10&lt;&gt;0,"",J10)</f>
        <v>#N/A</v>
      </c>
      <c r="N10" s="531" t="e">
        <f>IF(B10&lt;&gt;0,"",H10*I10)</f>
        <v>#N/A</v>
      </c>
      <c r="O10" s="148" t="e">
        <f>IF(B10&lt;&gt;0,"",I10*J10)</f>
        <v>#N/A</v>
      </c>
      <c r="P10" s="148" t="e">
        <f>IF(B10&lt;&gt;0,"",H10*J10)</f>
        <v>#N/A</v>
      </c>
      <c r="Q10" s="148" t="e">
        <f>IF(B10&lt;&gt;0,"",N10*J10)</f>
        <v>#N/A</v>
      </c>
      <c r="R10" s="80"/>
    </row>
    <row r="11" spans="1:22" ht="16.149999999999999" thickBot="1">
      <c r="A11" s="533">
        <v>1</v>
      </c>
      <c r="B11" s="89" t="str">
        <f>$B4</f>
        <v>QPR</v>
      </c>
      <c r="C11" s="157" t="s">
        <v>175</v>
      </c>
      <c r="D11" s="149" t="e">
        <f>IF(B10&lt;&gt;0,"",INDEX(Odds!H:H,MATCH(B11,Odds!G:G,0)))</f>
        <v>#N/A</v>
      </c>
      <c r="E11" s="531" t="e">
        <f>IF(B10&lt;&gt;0,"",INDEX(Odds!I:I,MATCH(B11,Odds!G:G,0)))</f>
        <v>#N/A</v>
      </c>
      <c r="F11" s="146">
        <v>0</v>
      </c>
      <c r="G11" s="80"/>
      <c r="H11" s="80"/>
      <c r="I11" s="80"/>
      <c r="J11" s="80"/>
      <c r="K11" s="80"/>
      <c r="L11" s="80"/>
      <c r="M11" s="80"/>
      <c r="N11" s="80"/>
      <c r="O11" s="80"/>
      <c r="P11" s="80"/>
      <c r="Q11" s="80"/>
      <c r="R11" s="80"/>
    </row>
    <row r="12" spans="1:22" ht="15.75">
      <c r="A12" s="533">
        <v>2</v>
      </c>
      <c r="B12" s="89" t="str">
        <f>$B5</f>
        <v>Port Vale draw</v>
      </c>
      <c r="C12" s="153" t="s">
        <v>176</v>
      </c>
      <c r="D12" s="149" t="e">
        <f>IF(B10&lt;&gt;0,"",INDEX(Odds!H:H,MATCH(B12,Odds!G:G,0)))</f>
        <v>#N/A</v>
      </c>
      <c r="E12" s="531" t="e">
        <f>IF(B10&lt;&gt;0,"",INDEX(Odds!I:I,MATCH(B12,Odds!G:G,0)))</f>
        <v>#N/A</v>
      </c>
      <c r="F12" s="146">
        <v>1</v>
      </c>
      <c r="G12" s="80"/>
      <c r="H12" s="80"/>
      <c r="I12" s="80"/>
      <c r="J12" s="80"/>
      <c r="K12" s="5" t="s">
        <v>13</v>
      </c>
      <c r="L12" s="5" t="s">
        <v>28</v>
      </c>
      <c r="M12" s="76"/>
      <c r="N12" s="76"/>
      <c r="O12" s="80"/>
      <c r="P12" s="80"/>
      <c r="Q12" s="80"/>
      <c r="R12" s="80"/>
    </row>
    <row r="13" spans="1:22" ht="16.149999999999999" thickBot="1">
      <c r="A13" s="533">
        <v>3</v>
      </c>
      <c r="B13" s="89" t="str">
        <f>$B6</f>
        <v>West Ham</v>
      </c>
      <c r="C13" s="153" t="s">
        <v>176</v>
      </c>
      <c r="D13" s="149" t="e">
        <f>IF(B10&lt;&gt;0,"",INDEX(Odds!H:H,MATCH(B13,Odds!G:G,0)))</f>
        <v>#N/A</v>
      </c>
      <c r="E13" s="531" t="e">
        <f>IF(B10&lt;&gt;0,"",INDEX(Odds!I:I,MATCH(B13,Odds!G:G,0)))</f>
        <v>#N/A</v>
      </c>
      <c r="F13" s="146">
        <v>1</v>
      </c>
      <c r="G13" s="80"/>
      <c r="H13" s="80"/>
      <c r="I13" s="80"/>
      <c r="J13" s="80"/>
      <c r="K13" s="6">
        <f>SUM(F11:F13)</f>
        <v>2</v>
      </c>
      <c r="L13" s="7" t="e">
        <f>SUM(K10:Q10)-7</f>
        <v>#N/A</v>
      </c>
      <c r="M13" s="76"/>
      <c r="N13" s="76"/>
      <c r="O13" s="80"/>
      <c r="P13" s="80"/>
      <c r="Q13" s="80"/>
      <c r="R13" s="80"/>
      <c r="S13" s="76"/>
      <c r="T13" s="76"/>
      <c r="U13" s="76"/>
      <c r="V13" s="76"/>
    </row>
    <row r="14" spans="1:22">
      <c r="A14" s="76"/>
      <c r="B14" s="76"/>
      <c r="C14" s="76"/>
      <c r="D14" s="80"/>
      <c r="E14" s="80"/>
      <c r="F14" s="80"/>
      <c r="G14" s="80"/>
      <c r="H14" s="76"/>
      <c r="I14" s="76"/>
      <c r="J14" s="80"/>
      <c r="K14" s="80"/>
      <c r="L14" s="80"/>
      <c r="M14" s="80"/>
      <c r="N14" s="80"/>
      <c r="O14" s="80"/>
      <c r="P14" s="80"/>
      <c r="Q14" s="80"/>
      <c r="R14" s="80"/>
      <c r="S14" s="76"/>
      <c r="T14" s="76"/>
      <c r="U14" s="76"/>
      <c r="V14" s="76"/>
    </row>
    <row r="15" spans="1:22">
      <c r="A15" s="76"/>
      <c r="B15" s="76"/>
      <c r="C15" s="76"/>
      <c r="D15" s="80"/>
      <c r="E15" s="80"/>
      <c r="F15" s="80"/>
      <c r="G15" s="80"/>
      <c r="H15" s="76"/>
      <c r="I15" s="76"/>
      <c r="J15" s="80"/>
      <c r="K15" s="80"/>
      <c r="L15" s="80"/>
      <c r="M15" s="80"/>
      <c r="N15" s="80"/>
      <c r="O15" s="80"/>
      <c r="P15" s="80"/>
      <c r="Q15" s="80"/>
      <c r="R15" s="80"/>
      <c r="S15" s="76"/>
      <c r="T15" s="76"/>
      <c r="U15" s="76"/>
      <c r="V15" s="76"/>
    </row>
    <row r="16" spans="1:22">
      <c r="A16" s="76"/>
      <c r="B16" s="76"/>
      <c r="C16" s="76"/>
      <c r="D16" s="150" t="s">
        <v>173</v>
      </c>
      <c r="E16" s="150" t="s">
        <v>173</v>
      </c>
      <c r="F16" s="150" t="s">
        <v>25</v>
      </c>
      <c r="G16" s="80"/>
      <c r="H16" s="80"/>
      <c r="I16" s="80"/>
      <c r="J16" s="80"/>
      <c r="K16" s="154" t="s">
        <v>166</v>
      </c>
      <c r="L16" s="154" t="s">
        <v>167</v>
      </c>
      <c r="M16" s="154" t="s">
        <v>168</v>
      </c>
      <c r="N16" s="154" t="s">
        <v>169</v>
      </c>
      <c r="O16" s="154" t="s">
        <v>170</v>
      </c>
      <c r="P16" s="154" t="s">
        <v>171</v>
      </c>
      <c r="Q16" s="154" t="s">
        <v>172</v>
      </c>
      <c r="R16" s="80"/>
      <c r="S16" s="76"/>
      <c r="T16" s="76"/>
      <c r="U16" s="76"/>
      <c r="V16" s="76"/>
    </row>
    <row r="17" spans="1:22">
      <c r="A17" s="76"/>
      <c r="B17" s="76"/>
      <c r="C17" s="76"/>
      <c r="D17" s="152" t="s">
        <v>26</v>
      </c>
      <c r="E17" s="152" t="s">
        <v>27</v>
      </c>
      <c r="F17" s="152" t="s">
        <v>13</v>
      </c>
      <c r="G17" s="80"/>
      <c r="H17" s="147" t="e">
        <f>IF(F18=0,0,E18)</f>
        <v>#N/A</v>
      </c>
      <c r="I17" s="147" t="e">
        <f>IF(F19=0,0,E19)</f>
        <v>#N/A</v>
      </c>
      <c r="J17" s="147">
        <f>IF(F20=0,0,E20)</f>
        <v>0</v>
      </c>
      <c r="K17" s="148" t="e">
        <f>IF(H17=0,0,1)+H17</f>
        <v>#N/A</v>
      </c>
      <c r="L17" s="148" t="e">
        <f>IF(I17=0,0,1)+I17</f>
        <v>#N/A</v>
      </c>
      <c r="M17" s="148">
        <f>IF(J17=0,0,1)+J17</f>
        <v>0</v>
      </c>
      <c r="N17" s="148" t="e">
        <f>IF(I17=0,0,(K17*I17)+K17)</f>
        <v>#N/A</v>
      </c>
      <c r="O17" s="148">
        <f>IF(J17=0,0,(L17*J17)+L17)</f>
        <v>0</v>
      </c>
      <c r="P17" s="148" t="e">
        <f>IF(H17=0,0,(M17*H17)+M17)</f>
        <v>#N/A</v>
      </c>
      <c r="Q17" s="148">
        <f>IF(J17=0,0,(N17*J17)+N17)</f>
        <v>0</v>
      </c>
      <c r="R17" s="80"/>
      <c r="S17" s="76"/>
      <c r="T17" s="76"/>
      <c r="U17" s="76"/>
      <c r="V17" s="76"/>
    </row>
    <row r="18" spans="1:22" ht="16.149999999999999" thickBot="1">
      <c r="A18" s="533">
        <v>1</v>
      </c>
      <c r="B18" s="89" t="str">
        <f>$B11</f>
        <v>QPR</v>
      </c>
      <c r="C18" s="153" t="s">
        <v>176</v>
      </c>
      <c r="D18" s="149" t="e">
        <f>IF(B17&lt;&gt;0,"",INDEX(Odds!H:H,MATCH(B18,Odds!G:G,0)))</f>
        <v>#N/A</v>
      </c>
      <c r="E18" s="531" t="e">
        <f>IF(B17&lt;&gt;0,"",INDEX(Odds!I:I,MATCH(B18,Odds!G:G,0)))</f>
        <v>#N/A</v>
      </c>
      <c r="F18" s="146">
        <v>1</v>
      </c>
      <c r="G18" s="80"/>
      <c r="H18" s="80"/>
      <c r="I18" s="80"/>
      <c r="J18" s="80"/>
      <c r="K18" s="80"/>
      <c r="L18" s="80"/>
      <c r="M18" s="80"/>
      <c r="N18" s="80"/>
      <c r="O18" s="80"/>
      <c r="P18" s="80"/>
      <c r="Q18" s="80"/>
      <c r="R18" s="80"/>
      <c r="S18" s="76"/>
      <c r="T18" s="76"/>
      <c r="U18" s="76"/>
      <c r="V18" s="76"/>
    </row>
    <row r="19" spans="1:22" ht="15.75">
      <c r="A19" s="533">
        <v>2</v>
      </c>
      <c r="B19" s="89" t="str">
        <f>$B12</f>
        <v>Port Vale draw</v>
      </c>
      <c r="C19" s="153" t="s">
        <v>176</v>
      </c>
      <c r="D19" s="149" t="e">
        <f>IF(B17&lt;&gt;0,"",INDEX(Odds!H:H,MATCH(B19,Odds!G:G,0)))</f>
        <v>#N/A</v>
      </c>
      <c r="E19" s="531" t="e">
        <f>IF(B17&lt;&gt;0,"",INDEX(Odds!I:I,MATCH(B19,Odds!G:G,0)))</f>
        <v>#N/A</v>
      </c>
      <c r="F19" s="146">
        <v>1</v>
      </c>
      <c r="G19" s="80"/>
      <c r="H19" s="80"/>
      <c r="I19" s="80"/>
      <c r="J19" s="80"/>
      <c r="K19" s="5" t="s">
        <v>13</v>
      </c>
      <c r="L19" s="5" t="s">
        <v>28</v>
      </c>
      <c r="M19" s="76"/>
      <c r="N19" s="76"/>
      <c r="O19" s="80"/>
      <c r="P19" s="80"/>
      <c r="Q19" s="80"/>
      <c r="R19" s="80"/>
      <c r="S19" s="76"/>
      <c r="T19" s="76"/>
      <c r="U19" s="76"/>
      <c r="V19" s="76"/>
    </row>
    <row r="20" spans="1:22" ht="16.149999999999999" thickBot="1">
      <c r="A20" s="533">
        <v>3</v>
      </c>
      <c r="B20" s="89" t="str">
        <f>$B13</f>
        <v>West Ham</v>
      </c>
      <c r="C20" s="157" t="s">
        <v>175</v>
      </c>
      <c r="D20" s="149" t="e">
        <f>IF(B17&lt;&gt;0,"",INDEX(Odds!H:H,MATCH(B20,Odds!G:G,0)))</f>
        <v>#N/A</v>
      </c>
      <c r="E20" s="531" t="e">
        <f>IF(B17&lt;&gt;0,"",INDEX(Odds!I:I,MATCH(B20,Odds!G:G,0)))</f>
        <v>#N/A</v>
      </c>
      <c r="F20" s="146">
        <v>0</v>
      </c>
      <c r="G20" s="80"/>
      <c r="H20" s="80"/>
      <c r="I20" s="80"/>
      <c r="J20" s="80"/>
      <c r="K20" s="6">
        <f>SUM(F18:F20)</f>
        <v>2</v>
      </c>
      <c r="L20" s="7" t="e">
        <f>SUM(K17:Q17)-7</f>
        <v>#N/A</v>
      </c>
      <c r="M20" s="76"/>
      <c r="N20" s="76"/>
      <c r="O20" s="80"/>
      <c r="P20" s="80"/>
      <c r="Q20" s="80"/>
      <c r="R20" s="80"/>
      <c r="S20" s="76"/>
      <c r="T20" s="76"/>
      <c r="U20" s="76"/>
      <c r="V20" s="76"/>
    </row>
    <row r="21" spans="1:22" ht="13.15">
      <c r="A21" s="76"/>
      <c r="B21" s="76"/>
      <c r="C21" s="76"/>
      <c r="D21" s="80"/>
      <c r="E21" s="80"/>
      <c r="F21" s="80"/>
      <c r="G21" s="80"/>
      <c r="H21" s="76"/>
      <c r="I21" s="76"/>
      <c r="J21" s="80"/>
      <c r="K21" s="155"/>
      <c r="L21" s="156"/>
      <c r="M21" s="76"/>
      <c r="N21" s="76"/>
      <c r="O21" s="80"/>
      <c r="P21" s="80"/>
      <c r="Q21" s="80"/>
      <c r="R21" s="80"/>
      <c r="S21" s="76"/>
      <c r="T21" s="76"/>
      <c r="U21" s="76"/>
      <c r="V21" s="76"/>
    </row>
    <row r="22" spans="1:22" ht="13.15">
      <c r="A22" s="76"/>
      <c r="B22" s="76"/>
      <c r="C22" s="76"/>
      <c r="D22" s="80"/>
      <c r="E22" s="80"/>
      <c r="F22" s="80"/>
      <c r="G22" s="80"/>
      <c r="H22" s="76"/>
      <c r="I22" s="76"/>
      <c r="J22" s="80"/>
      <c r="K22" s="155"/>
      <c r="L22" s="156"/>
      <c r="M22" s="76"/>
      <c r="N22" s="76"/>
      <c r="O22" s="80"/>
      <c r="P22" s="80"/>
      <c r="Q22" s="80"/>
      <c r="R22" s="80"/>
      <c r="S22" s="76"/>
      <c r="T22" s="76"/>
      <c r="U22" s="76"/>
      <c r="V22" s="76"/>
    </row>
    <row r="23" spans="1:22">
      <c r="A23" s="76"/>
      <c r="B23" s="76"/>
      <c r="C23" s="76"/>
      <c r="D23" s="150" t="s">
        <v>173</v>
      </c>
      <c r="E23" s="150" t="s">
        <v>173</v>
      </c>
      <c r="F23" s="150" t="s">
        <v>25</v>
      </c>
      <c r="G23" s="80"/>
      <c r="H23" s="80"/>
      <c r="I23" s="80"/>
      <c r="J23" s="80"/>
      <c r="K23" s="154" t="s">
        <v>166</v>
      </c>
      <c r="L23" s="154" t="s">
        <v>167</v>
      </c>
      <c r="M23" s="154" t="s">
        <v>168</v>
      </c>
      <c r="N23" s="154" t="s">
        <v>169</v>
      </c>
      <c r="O23" s="154" t="s">
        <v>170</v>
      </c>
      <c r="P23" s="154" t="s">
        <v>171</v>
      </c>
      <c r="Q23" s="154" t="s">
        <v>172</v>
      </c>
      <c r="R23" s="80"/>
      <c r="S23" s="76"/>
      <c r="T23" s="76"/>
      <c r="U23" s="76"/>
      <c r="V23" s="76"/>
    </row>
    <row r="24" spans="1:22">
      <c r="A24" s="76"/>
      <c r="B24" s="76"/>
      <c r="C24" s="76"/>
      <c r="D24" s="152" t="s">
        <v>26</v>
      </c>
      <c r="E24" s="152" t="s">
        <v>27</v>
      </c>
      <c r="F24" s="152" t="s">
        <v>13</v>
      </c>
      <c r="G24" s="80"/>
      <c r="H24" s="147" t="e">
        <f>IF(F25=0,0,E25)</f>
        <v>#N/A</v>
      </c>
      <c r="I24" s="147">
        <f>IF(F26=0,0,E26)</f>
        <v>0</v>
      </c>
      <c r="J24" s="147" t="e">
        <f>IF(F27=0,0,E27)</f>
        <v>#N/A</v>
      </c>
      <c r="K24" s="148" t="e">
        <f>IF(H24=0,0,1)+H24</f>
        <v>#N/A</v>
      </c>
      <c r="L24" s="148">
        <f>IF(I24=0,0,1)+I24</f>
        <v>0</v>
      </c>
      <c r="M24" s="148" t="e">
        <f>IF(J24=0,0,1)+J24</f>
        <v>#N/A</v>
      </c>
      <c r="N24" s="148">
        <f>IF(I24=0,0,(K24*I24)+K24)</f>
        <v>0</v>
      </c>
      <c r="O24" s="148" t="e">
        <f>IF(J24=0,0,(L24*J24)+L24)</f>
        <v>#N/A</v>
      </c>
      <c r="P24" s="148" t="e">
        <f>IF(H24=0,0,(M24*H24)+M24)</f>
        <v>#N/A</v>
      </c>
      <c r="Q24" s="148" t="e">
        <f>IF(J24=0,0,(N24*J24)+N24)</f>
        <v>#N/A</v>
      </c>
      <c r="R24" s="80"/>
      <c r="S24" s="76"/>
      <c r="T24" s="76"/>
      <c r="U24" s="76"/>
      <c r="V24" s="76"/>
    </row>
    <row r="25" spans="1:22" ht="16.149999999999999" thickBot="1">
      <c r="A25" s="533">
        <v>1</v>
      </c>
      <c r="B25" s="89" t="str">
        <f>$B18</f>
        <v>QPR</v>
      </c>
      <c r="C25" s="153" t="s">
        <v>176</v>
      </c>
      <c r="D25" s="149" t="e">
        <f>IF(B24&lt;&gt;0,"",INDEX(Odds!H:H,MATCH(B25,Odds!G:G,0)))</f>
        <v>#N/A</v>
      </c>
      <c r="E25" s="531" t="e">
        <f>IF(B24&lt;&gt;0,"",INDEX(Odds!I:I,MATCH(B25,Odds!G:G,0)))</f>
        <v>#N/A</v>
      </c>
      <c r="F25" s="146">
        <v>1</v>
      </c>
      <c r="G25" s="80"/>
      <c r="H25" s="80"/>
      <c r="I25" s="80"/>
      <c r="J25" s="80"/>
      <c r="K25" s="80"/>
      <c r="L25" s="80"/>
      <c r="M25" s="80"/>
      <c r="N25" s="80"/>
      <c r="O25" s="80"/>
      <c r="P25" s="80"/>
      <c r="Q25" s="80"/>
      <c r="R25" s="80"/>
      <c r="S25" s="76"/>
      <c r="T25" s="76"/>
      <c r="U25" s="76"/>
      <c r="V25" s="76"/>
    </row>
    <row r="26" spans="1:22" ht="15.75">
      <c r="A26" s="533">
        <v>2</v>
      </c>
      <c r="B26" s="89" t="str">
        <f>$B19</f>
        <v>Port Vale draw</v>
      </c>
      <c r="C26" s="157" t="s">
        <v>175</v>
      </c>
      <c r="D26" s="149" t="e">
        <f>IF(B24&lt;&gt;0,"",INDEX(Odds!H:H,MATCH(B26,Odds!G:G,0)))</f>
        <v>#N/A</v>
      </c>
      <c r="E26" s="531" t="e">
        <f>IF(B24&lt;&gt;0,"",INDEX(Odds!I:I,MATCH(B26,Odds!G:G,0)))</f>
        <v>#N/A</v>
      </c>
      <c r="F26" s="146">
        <v>0</v>
      </c>
      <c r="G26" s="80"/>
      <c r="H26" s="80"/>
      <c r="I26" s="80"/>
      <c r="J26" s="80"/>
      <c r="K26" s="5" t="s">
        <v>13</v>
      </c>
      <c r="L26" s="5" t="s">
        <v>28</v>
      </c>
      <c r="M26" s="76"/>
      <c r="N26" s="76"/>
      <c r="O26" s="80"/>
      <c r="P26" s="80"/>
      <c r="Q26" s="80"/>
      <c r="R26" s="80"/>
      <c r="S26" s="76"/>
      <c r="T26" s="76"/>
      <c r="U26" s="76"/>
      <c r="V26" s="76"/>
    </row>
    <row r="27" spans="1:22" ht="16.149999999999999" thickBot="1">
      <c r="A27" s="533">
        <v>3</v>
      </c>
      <c r="B27" s="89" t="str">
        <f>$B20</f>
        <v>West Ham</v>
      </c>
      <c r="C27" s="153" t="s">
        <v>176</v>
      </c>
      <c r="D27" s="149" t="e">
        <f>IF(B24&lt;&gt;0,"",INDEX(Odds!H:H,MATCH(B27,Odds!G:G,0)))</f>
        <v>#N/A</v>
      </c>
      <c r="E27" s="531" t="e">
        <f>IF(B24&lt;&gt;0,"",INDEX(Odds!I:I,MATCH(B27,Odds!G:G,0)))</f>
        <v>#N/A</v>
      </c>
      <c r="F27" s="146">
        <v>1</v>
      </c>
      <c r="G27" s="80"/>
      <c r="H27" s="80"/>
      <c r="I27" s="80"/>
      <c r="J27" s="80"/>
      <c r="K27" s="6">
        <f>SUM(F25:F27)</f>
        <v>2</v>
      </c>
      <c r="L27" s="7" t="e">
        <f>SUM(K24:Q24)-7</f>
        <v>#N/A</v>
      </c>
      <c r="M27" s="76"/>
      <c r="N27" s="76"/>
      <c r="O27" s="80"/>
      <c r="P27" s="80"/>
      <c r="Q27" s="80"/>
      <c r="R27" s="80"/>
      <c r="S27" s="76"/>
      <c r="T27" s="76"/>
      <c r="U27" s="76"/>
      <c r="V27" s="76"/>
    </row>
    <row r="28" spans="1:22" ht="13.15">
      <c r="A28" s="76"/>
      <c r="B28" s="76"/>
      <c r="C28" s="76"/>
      <c r="D28" s="80"/>
      <c r="E28" s="80"/>
      <c r="F28" s="80"/>
      <c r="G28" s="80"/>
      <c r="H28" s="76"/>
      <c r="I28" s="76"/>
      <c r="J28" s="80"/>
      <c r="K28" s="155"/>
      <c r="L28" s="156"/>
      <c r="M28" s="76"/>
      <c r="N28" s="76"/>
      <c r="O28" s="80"/>
      <c r="P28" s="80"/>
      <c r="Q28" s="80"/>
      <c r="R28" s="80"/>
      <c r="S28" s="76"/>
      <c r="T28" s="76"/>
      <c r="U28" s="76"/>
      <c r="V28" s="76"/>
    </row>
    <row r="29" spans="1:22">
      <c r="A29" s="76"/>
      <c r="B29" s="58"/>
      <c r="C29" s="76"/>
      <c r="D29" s="80"/>
      <c r="E29" s="80"/>
      <c r="F29" s="80"/>
      <c r="G29" s="80"/>
      <c r="H29" s="76"/>
      <c r="I29" s="76"/>
      <c r="J29" s="76"/>
      <c r="K29" s="76"/>
      <c r="L29" s="76"/>
      <c r="M29" s="76"/>
      <c r="N29" s="76"/>
      <c r="O29" s="76"/>
      <c r="P29" s="76"/>
      <c r="Q29" s="76"/>
      <c r="R29" s="76"/>
      <c r="S29" s="76"/>
      <c r="T29" s="76"/>
      <c r="U29" s="76"/>
      <c r="V29" s="76"/>
    </row>
    <row r="30" spans="1:22">
      <c r="A30" s="76"/>
      <c r="B30" s="76"/>
      <c r="C30" s="76"/>
      <c r="D30" s="150" t="s">
        <v>173</v>
      </c>
      <c r="E30" s="150" t="s">
        <v>173</v>
      </c>
      <c r="F30" s="150" t="s">
        <v>25</v>
      </c>
      <c r="G30" s="80"/>
      <c r="H30" s="80"/>
      <c r="I30" s="80"/>
      <c r="J30" s="80"/>
      <c r="K30" s="154" t="s">
        <v>166</v>
      </c>
      <c r="L30" s="154" t="s">
        <v>167</v>
      </c>
      <c r="M30" s="154" t="s">
        <v>168</v>
      </c>
      <c r="N30" s="154" t="s">
        <v>169</v>
      </c>
      <c r="O30" s="154" t="s">
        <v>170</v>
      </c>
      <c r="P30" s="154" t="s">
        <v>171</v>
      </c>
      <c r="Q30" s="154" t="s">
        <v>172</v>
      </c>
      <c r="R30" s="76"/>
      <c r="S30" s="76"/>
      <c r="T30" s="76"/>
      <c r="U30" s="76"/>
      <c r="V30" s="76"/>
    </row>
    <row r="31" spans="1:22">
      <c r="A31" s="76"/>
      <c r="B31" s="76"/>
      <c r="C31" s="76"/>
      <c r="D31" s="152" t="s">
        <v>26</v>
      </c>
      <c r="E31" s="152" t="s">
        <v>27</v>
      </c>
      <c r="F31" s="152" t="s">
        <v>13</v>
      </c>
      <c r="G31" s="80"/>
      <c r="H31" s="147">
        <f>IF(F32=0,0,E32)</f>
        <v>0</v>
      </c>
      <c r="I31" s="147">
        <f>IF(F33=0,0,E33)</f>
        <v>0</v>
      </c>
      <c r="J31" s="147" t="e">
        <f>IF(F34=0,0,E34)</f>
        <v>#N/A</v>
      </c>
      <c r="K31" s="148">
        <f>IF(H31=0,0,1)+H31</f>
        <v>0</v>
      </c>
      <c r="L31" s="148">
        <f>IF(I31=0,0,1)+I31</f>
        <v>0</v>
      </c>
      <c r="M31" s="148" t="e">
        <f>IF(J31=0,0,1)+J31</f>
        <v>#N/A</v>
      </c>
      <c r="N31" s="148">
        <f>IF(I31=0,0,(K31*I31)+K31)</f>
        <v>0</v>
      </c>
      <c r="O31" s="148" t="e">
        <f>IF(J31=0,0,(L31*J31)+L31)</f>
        <v>#N/A</v>
      </c>
      <c r="P31" s="148">
        <f>IF(H31=0,0,(M31*H31)+M31)</f>
        <v>0</v>
      </c>
      <c r="Q31" s="148" t="e">
        <f>IF(J31=0,0,(N31*J31)+N31)</f>
        <v>#N/A</v>
      </c>
      <c r="R31" s="76"/>
      <c r="S31" s="76"/>
      <c r="T31" s="76"/>
      <c r="U31" s="76"/>
      <c r="V31" s="76"/>
    </row>
    <row r="32" spans="1:22" ht="16.149999999999999" thickBot="1">
      <c r="A32" s="533">
        <v>1</v>
      </c>
      <c r="B32" s="89" t="str">
        <f>$B25</f>
        <v>QPR</v>
      </c>
      <c r="C32" s="157" t="s">
        <v>175</v>
      </c>
      <c r="D32" s="149" t="e">
        <f>IF(B31&lt;&gt;0,"",INDEX(Odds!H:H,MATCH(B32,Odds!G:G,0)))</f>
        <v>#N/A</v>
      </c>
      <c r="E32" s="531" t="e">
        <f>IF(B31&lt;&gt;0,"",INDEX(Odds!I:I,MATCH(B32,Odds!G:G,0)))</f>
        <v>#N/A</v>
      </c>
      <c r="F32" s="146">
        <v>0</v>
      </c>
      <c r="G32" s="80"/>
      <c r="H32" s="80"/>
      <c r="I32" s="80"/>
      <c r="J32" s="80"/>
      <c r="K32" s="80"/>
      <c r="L32" s="80"/>
      <c r="M32" s="80"/>
      <c r="N32" s="80"/>
      <c r="O32" s="80"/>
      <c r="P32" s="80"/>
      <c r="Q32" s="80"/>
      <c r="R32" s="76"/>
      <c r="S32" s="76"/>
      <c r="T32" s="76"/>
      <c r="U32" s="76"/>
      <c r="V32" s="76"/>
    </row>
    <row r="33" spans="1:22" ht="15.75">
      <c r="A33" s="533">
        <v>2</v>
      </c>
      <c r="B33" s="89" t="str">
        <f>$B26</f>
        <v>Port Vale draw</v>
      </c>
      <c r="C33" s="157" t="s">
        <v>175</v>
      </c>
      <c r="D33" s="149" t="e">
        <f>IF(B31&lt;&gt;0,"",INDEX(Odds!H:H,MATCH(B33,Odds!G:G,0)))</f>
        <v>#N/A</v>
      </c>
      <c r="E33" s="531" t="e">
        <f>IF(B31&lt;&gt;0,"",INDEX(Odds!I:I,MATCH(B33,Odds!G:G,0)))</f>
        <v>#N/A</v>
      </c>
      <c r="F33" s="146">
        <v>0</v>
      </c>
      <c r="G33" s="80"/>
      <c r="H33" s="80"/>
      <c r="I33" s="80"/>
      <c r="J33" s="80"/>
      <c r="K33" s="5" t="s">
        <v>13</v>
      </c>
      <c r="L33" s="5" t="s">
        <v>28</v>
      </c>
      <c r="M33" s="76"/>
      <c r="N33" s="76"/>
      <c r="O33" s="80"/>
      <c r="P33" s="80"/>
      <c r="Q33" s="80"/>
      <c r="R33" s="76"/>
      <c r="S33" s="76"/>
      <c r="T33" s="76"/>
      <c r="U33" s="76"/>
      <c r="V33" s="76"/>
    </row>
    <row r="34" spans="1:22" ht="16.149999999999999" thickBot="1">
      <c r="A34" s="533">
        <v>3</v>
      </c>
      <c r="B34" s="89" t="str">
        <f>$B27</f>
        <v>West Ham</v>
      </c>
      <c r="C34" s="153" t="s">
        <v>176</v>
      </c>
      <c r="D34" s="149" t="e">
        <f>IF(B31&lt;&gt;0,"",INDEX(Odds!H:H,MATCH(B34,Odds!G:G,0)))</f>
        <v>#N/A</v>
      </c>
      <c r="E34" s="531" t="e">
        <f>IF(B31&lt;&gt;0,"",INDEX(Odds!I:I,MATCH(B34,Odds!G:G,0)))</f>
        <v>#N/A</v>
      </c>
      <c r="F34" s="146">
        <v>1</v>
      </c>
      <c r="G34" s="80"/>
      <c r="H34" s="80"/>
      <c r="I34" s="80"/>
      <c r="J34" s="80"/>
      <c r="K34" s="6">
        <f>SUM(F32:F34)</f>
        <v>1</v>
      </c>
      <c r="L34" s="7" t="e">
        <f>SUM(K31:Q31)-7</f>
        <v>#N/A</v>
      </c>
      <c r="M34" s="76"/>
      <c r="N34" s="76"/>
      <c r="O34" s="80"/>
      <c r="P34" s="80"/>
      <c r="Q34" s="80"/>
      <c r="R34" s="76"/>
      <c r="S34" s="76"/>
      <c r="T34" s="76"/>
      <c r="U34" s="76"/>
      <c r="V34" s="76"/>
    </row>
    <row r="35" spans="1:22">
      <c r="A35" s="76"/>
      <c r="B35" s="76"/>
      <c r="C35" s="76"/>
      <c r="D35" s="80"/>
      <c r="E35" s="80"/>
      <c r="F35" s="80"/>
      <c r="G35" s="80"/>
      <c r="H35" s="76"/>
      <c r="I35" s="76"/>
      <c r="J35" s="76"/>
      <c r="K35" s="76"/>
      <c r="L35" s="76"/>
      <c r="M35" s="76"/>
      <c r="N35" s="76"/>
      <c r="O35" s="76"/>
      <c r="P35" s="76"/>
      <c r="Q35" s="76"/>
      <c r="R35" s="76"/>
      <c r="S35" s="76"/>
      <c r="T35" s="76"/>
      <c r="U35" s="76"/>
      <c r="V35" s="76"/>
    </row>
    <row r="36" spans="1:22">
      <c r="A36" s="76"/>
      <c r="B36" s="76"/>
      <c r="C36" s="76"/>
      <c r="D36" s="80"/>
      <c r="E36" s="80"/>
      <c r="F36" s="80"/>
      <c r="G36" s="80"/>
      <c r="H36" s="76"/>
      <c r="I36" s="76"/>
      <c r="J36" s="76"/>
      <c r="K36" s="76"/>
      <c r="L36" s="76"/>
      <c r="M36" s="76"/>
      <c r="N36" s="76"/>
      <c r="O36" s="76"/>
      <c r="P36" s="76"/>
      <c r="Q36" s="76"/>
      <c r="R36" s="76"/>
      <c r="S36" s="76"/>
      <c r="T36" s="76"/>
      <c r="U36" s="76"/>
      <c r="V36" s="76"/>
    </row>
    <row r="37" spans="1:22">
      <c r="A37" s="76"/>
      <c r="B37" s="76"/>
      <c r="C37" s="76"/>
      <c r="D37" s="150" t="s">
        <v>173</v>
      </c>
      <c r="E37" s="150" t="s">
        <v>173</v>
      </c>
      <c r="F37" s="150" t="s">
        <v>25</v>
      </c>
      <c r="G37" s="80"/>
      <c r="H37" s="80"/>
      <c r="I37" s="80"/>
      <c r="J37" s="80"/>
      <c r="K37" s="154" t="s">
        <v>166</v>
      </c>
      <c r="L37" s="154" t="s">
        <v>167</v>
      </c>
      <c r="M37" s="154" t="s">
        <v>168</v>
      </c>
      <c r="N37" s="154" t="s">
        <v>169</v>
      </c>
      <c r="O37" s="154" t="s">
        <v>170</v>
      </c>
      <c r="P37" s="154" t="s">
        <v>171</v>
      </c>
      <c r="Q37" s="154" t="s">
        <v>172</v>
      </c>
      <c r="R37" s="76"/>
      <c r="S37" s="76"/>
      <c r="T37" s="76"/>
      <c r="U37" s="76"/>
      <c r="V37" s="76"/>
    </row>
    <row r="38" spans="1:22">
      <c r="A38" s="76"/>
      <c r="B38" s="76"/>
      <c r="C38" s="76"/>
      <c r="D38" s="152" t="s">
        <v>26</v>
      </c>
      <c r="E38" s="152" t="s">
        <v>27</v>
      </c>
      <c r="F38" s="152" t="s">
        <v>13</v>
      </c>
      <c r="G38" s="80"/>
      <c r="H38" s="147">
        <f>IF(F39=0,0,E39)</f>
        <v>0</v>
      </c>
      <c r="I38" s="147">
        <f>IF(F40=0,0,E40)</f>
        <v>0</v>
      </c>
      <c r="J38" s="147">
        <f>IF(F41=0,0,E41)</f>
        <v>0</v>
      </c>
      <c r="K38" s="148"/>
      <c r="L38" s="148"/>
      <c r="M38" s="148"/>
      <c r="N38" s="148"/>
      <c r="O38" s="148"/>
      <c r="P38" s="148"/>
      <c r="Q38" s="148"/>
      <c r="R38" s="76"/>
      <c r="S38" s="76"/>
      <c r="T38" s="76"/>
      <c r="U38" s="76"/>
      <c r="V38" s="76"/>
    </row>
    <row r="39" spans="1:22" ht="16.149999999999999" thickBot="1">
      <c r="A39" s="533">
        <v>1</v>
      </c>
      <c r="B39" s="89" t="str">
        <f>$B32</f>
        <v>QPR</v>
      </c>
      <c r="C39" s="157" t="s">
        <v>175</v>
      </c>
      <c r="D39" s="149" t="e">
        <f>IF(B38&lt;&gt;0,"",INDEX(Odds!H:H,MATCH(B39,Odds!G:G,0)))</f>
        <v>#N/A</v>
      </c>
      <c r="E39" s="531" t="e">
        <f>IF(B38&lt;&gt;0,"",INDEX(Odds!I:I,MATCH(B39,Odds!G:G,0)))</f>
        <v>#N/A</v>
      </c>
      <c r="F39" s="146">
        <v>0</v>
      </c>
      <c r="G39" s="80"/>
      <c r="H39" s="80"/>
      <c r="I39" s="80"/>
      <c r="J39" s="80"/>
      <c r="K39" s="80"/>
      <c r="L39" s="80"/>
      <c r="M39" s="80"/>
      <c r="N39" s="80"/>
      <c r="O39" s="80"/>
      <c r="P39" s="80"/>
      <c r="Q39" s="80"/>
      <c r="R39" s="76"/>
      <c r="S39" s="76"/>
      <c r="T39" s="76"/>
      <c r="U39" s="76"/>
      <c r="V39" s="76"/>
    </row>
    <row r="40" spans="1:22" ht="15.75">
      <c r="A40" s="533">
        <v>2</v>
      </c>
      <c r="B40" s="89" t="str">
        <f>$B33</f>
        <v>Port Vale draw</v>
      </c>
      <c r="C40" s="157" t="s">
        <v>175</v>
      </c>
      <c r="D40" s="149" t="e">
        <f>IF(B38&lt;&gt;0,"",INDEX(Odds!H:H,MATCH(B40,Odds!G:G,0)))</f>
        <v>#N/A</v>
      </c>
      <c r="E40" s="531" t="e">
        <f>IF(B38&lt;&gt;0,"",INDEX(Odds!I:I,MATCH(B40,Odds!G:G,0)))</f>
        <v>#N/A</v>
      </c>
      <c r="F40" s="146">
        <v>0</v>
      </c>
      <c r="G40" s="80"/>
      <c r="H40" s="80"/>
      <c r="I40" s="80"/>
      <c r="J40" s="80"/>
      <c r="K40" s="5" t="s">
        <v>13</v>
      </c>
      <c r="L40" s="5" t="s">
        <v>28</v>
      </c>
      <c r="M40" s="76"/>
      <c r="N40" s="76"/>
      <c r="O40" s="80"/>
      <c r="P40" s="80"/>
      <c r="Q40" s="80"/>
      <c r="R40" s="76"/>
      <c r="S40" s="76"/>
      <c r="T40" s="76"/>
      <c r="U40" s="76"/>
      <c r="V40" s="76"/>
    </row>
    <row r="41" spans="1:22" ht="16.149999999999999" thickBot="1">
      <c r="A41" s="533">
        <v>3</v>
      </c>
      <c r="B41" s="89" t="str">
        <f>$B34</f>
        <v>West Ham</v>
      </c>
      <c r="C41" s="157" t="s">
        <v>175</v>
      </c>
      <c r="D41" s="149" t="e">
        <f>IF(B38&lt;&gt;0,"",INDEX(Odds!H:H,MATCH(B41,Odds!G:G,0)))</f>
        <v>#N/A</v>
      </c>
      <c r="E41" s="531" t="e">
        <f>IF(B38&lt;&gt;0,"",INDEX(Odds!I:I,MATCH(B41,Odds!G:G,0)))</f>
        <v>#N/A</v>
      </c>
      <c r="F41" s="146">
        <v>0</v>
      </c>
      <c r="G41" s="80"/>
      <c r="H41" s="80"/>
      <c r="I41" s="80"/>
      <c r="J41" s="80"/>
      <c r="K41" s="6">
        <f>SUM(F39:F41)</f>
        <v>0</v>
      </c>
      <c r="L41" s="7">
        <f>SUM(K38:Q38)-7</f>
        <v>-7</v>
      </c>
      <c r="M41" s="76"/>
      <c r="N41" s="76"/>
      <c r="O41" s="80"/>
      <c r="P41" s="80"/>
      <c r="Q41" s="80"/>
      <c r="R41" s="76"/>
      <c r="S41" s="76"/>
      <c r="T41" s="76"/>
      <c r="U41" s="76"/>
      <c r="V41" s="76"/>
    </row>
    <row r="42" spans="1:22">
      <c r="A42" s="76"/>
      <c r="B42" s="76"/>
      <c r="C42" s="76"/>
      <c r="D42" s="80"/>
      <c r="E42" s="80"/>
      <c r="F42" s="80"/>
      <c r="G42" s="80"/>
      <c r="H42" s="76"/>
      <c r="I42" s="76"/>
      <c r="J42" s="76"/>
      <c r="K42" s="76"/>
      <c r="L42" s="76"/>
      <c r="M42" s="76"/>
      <c r="N42" s="76"/>
      <c r="O42" s="76"/>
      <c r="P42" s="76"/>
      <c r="Q42" s="76"/>
      <c r="R42" s="76"/>
      <c r="S42" s="76"/>
      <c r="T42" s="76"/>
      <c r="U42" s="76"/>
      <c r="V42" s="76"/>
    </row>
    <row r="43" spans="1:22">
      <c r="A43" s="76"/>
      <c r="B43" s="76"/>
      <c r="C43" s="76"/>
      <c r="D43" s="80"/>
      <c r="E43" s="80"/>
      <c r="F43" s="80"/>
      <c r="G43" s="80"/>
      <c r="H43" s="76"/>
      <c r="I43" s="76"/>
      <c r="J43" s="76"/>
      <c r="K43" s="76"/>
      <c r="L43" s="76"/>
      <c r="M43" s="76"/>
      <c r="N43" s="76"/>
      <c r="O43" s="76"/>
      <c r="P43" s="76"/>
      <c r="Q43" s="76"/>
      <c r="R43" s="76"/>
      <c r="S43" s="76"/>
      <c r="T43" s="76"/>
      <c r="U43" s="76"/>
      <c r="V43" s="76"/>
    </row>
    <row r="44" spans="1:22">
      <c r="A44" s="76"/>
      <c r="B44" s="76"/>
      <c r="C44" s="76"/>
      <c r="D44" s="80"/>
      <c r="E44" s="80"/>
      <c r="F44" s="80"/>
      <c r="G44" s="80"/>
      <c r="H44" s="76"/>
      <c r="I44" s="76"/>
      <c r="J44" s="76"/>
      <c r="K44" s="76"/>
      <c r="L44" s="76"/>
      <c r="M44" s="76"/>
      <c r="N44" s="76"/>
      <c r="O44" s="76"/>
      <c r="P44" s="76"/>
      <c r="Q44" s="76"/>
      <c r="R44" s="76"/>
      <c r="S44" s="76"/>
      <c r="T44" s="76"/>
      <c r="U44" s="76"/>
      <c r="V44" s="76"/>
    </row>
    <row r="45" spans="1:22">
      <c r="A45" s="76"/>
      <c r="B45" s="76"/>
      <c r="C45" s="76"/>
      <c r="D45" s="80"/>
      <c r="E45" s="80"/>
      <c r="F45" s="80"/>
      <c r="G45" s="80"/>
      <c r="H45" s="76"/>
      <c r="I45" s="76"/>
      <c r="J45" s="76"/>
      <c r="K45" s="76"/>
      <c r="L45" s="76"/>
      <c r="M45" s="76"/>
      <c r="N45" s="76"/>
      <c r="O45" s="76"/>
      <c r="P45" s="76"/>
      <c r="Q45" s="76"/>
      <c r="R45" s="76"/>
      <c r="S45" s="76"/>
      <c r="T45" s="76"/>
      <c r="U45" s="76"/>
      <c r="V45" s="76"/>
    </row>
    <row r="46" spans="1:22">
      <c r="A46" s="76"/>
      <c r="B46" s="76"/>
      <c r="C46" s="76"/>
      <c r="D46" s="80"/>
      <c r="E46" s="80"/>
      <c r="F46" s="80"/>
      <c r="G46" s="80"/>
      <c r="H46" s="76"/>
      <c r="I46" s="76"/>
      <c r="J46" s="76"/>
      <c r="K46" s="76"/>
      <c r="L46" s="76"/>
      <c r="M46" s="76"/>
      <c r="N46" s="76"/>
      <c r="O46" s="76"/>
      <c r="P46" s="76"/>
      <c r="Q46" s="76"/>
      <c r="R46" s="76"/>
      <c r="S46" s="76"/>
      <c r="T46" s="76"/>
      <c r="U46" s="76"/>
      <c r="V46" s="76"/>
    </row>
    <row r="47" spans="1:22">
      <c r="A47" s="76"/>
      <c r="B47" s="76"/>
      <c r="C47" s="76"/>
      <c r="D47" s="80"/>
      <c r="E47" s="80"/>
      <c r="F47" s="80"/>
      <c r="G47" s="80"/>
      <c r="H47" s="76"/>
      <c r="I47" s="76"/>
      <c r="J47" s="76"/>
      <c r="K47" s="76"/>
      <c r="L47" s="76"/>
      <c r="M47" s="76"/>
      <c r="N47" s="76"/>
      <c r="O47" s="76"/>
      <c r="P47" s="76"/>
      <c r="Q47" s="76"/>
      <c r="R47" s="76"/>
      <c r="S47" s="76"/>
      <c r="T47" s="76"/>
      <c r="U47" s="76"/>
      <c r="V47" s="76"/>
    </row>
    <row r="48" spans="1:22">
      <c r="A48" s="76"/>
      <c r="B48" s="76"/>
      <c r="C48" s="76"/>
      <c r="D48" s="80"/>
      <c r="E48" s="80"/>
      <c r="F48" s="80"/>
      <c r="G48" s="80"/>
      <c r="H48" s="76"/>
      <c r="I48" s="76"/>
      <c r="J48" s="76"/>
      <c r="K48" s="76"/>
      <c r="L48" s="76"/>
      <c r="M48" s="76"/>
      <c r="N48" s="76"/>
      <c r="O48" s="76"/>
      <c r="P48" s="76"/>
      <c r="Q48" s="76"/>
      <c r="R48" s="76"/>
      <c r="S48" s="76"/>
      <c r="T48" s="76"/>
      <c r="U48" s="76"/>
      <c r="V48" s="76"/>
    </row>
    <row r="49" spans="1:22">
      <c r="A49" s="76"/>
      <c r="B49" s="76"/>
      <c r="C49" s="76"/>
      <c r="D49" s="80"/>
      <c r="E49" s="80"/>
      <c r="F49" s="80"/>
      <c r="G49" s="80"/>
      <c r="H49" s="76"/>
      <c r="I49" s="76"/>
      <c r="J49" s="76"/>
      <c r="K49" s="76"/>
      <c r="L49" s="76"/>
      <c r="M49" s="76"/>
      <c r="N49" s="76"/>
      <c r="O49" s="76"/>
      <c r="P49" s="76"/>
      <c r="Q49" s="76"/>
      <c r="R49" s="76"/>
      <c r="S49" s="76"/>
      <c r="T49" s="76"/>
      <c r="U49" s="76"/>
      <c r="V49" s="76"/>
    </row>
    <row r="50" spans="1:22">
      <c r="A50" s="76"/>
      <c r="B50" s="76"/>
      <c r="C50" s="76"/>
      <c r="D50" s="80"/>
      <c r="E50" s="80"/>
      <c r="F50" s="80"/>
      <c r="G50" s="80"/>
      <c r="H50" s="76"/>
      <c r="I50" s="76"/>
      <c r="J50" s="76"/>
      <c r="K50" s="76"/>
      <c r="L50" s="76"/>
      <c r="M50" s="76"/>
      <c r="N50" s="76"/>
      <c r="O50" s="76"/>
      <c r="P50" s="76"/>
      <c r="Q50" s="76"/>
      <c r="R50" s="76"/>
      <c r="S50" s="76"/>
      <c r="T50" s="76"/>
      <c r="U50" s="76"/>
      <c r="V50" s="76"/>
    </row>
    <row r="51" spans="1:22">
      <c r="A51" s="76"/>
      <c r="B51" s="76"/>
      <c r="C51" s="76"/>
      <c r="D51" s="80"/>
      <c r="E51" s="80"/>
      <c r="F51" s="80"/>
      <c r="G51" s="80"/>
      <c r="H51" s="76"/>
      <c r="I51" s="76"/>
      <c r="J51" s="76"/>
      <c r="K51" s="76"/>
      <c r="L51" s="76"/>
      <c r="M51" s="76"/>
      <c r="N51" s="76"/>
      <c r="O51" s="76"/>
      <c r="P51" s="76"/>
      <c r="Q51" s="76"/>
      <c r="R51" s="76"/>
      <c r="S51" s="76"/>
      <c r="T51" s="76"/>
      <c r="U51" s="76"/>
      <c r="V51" s="76"/>
    </row>
    <row r="52" spans="1:22">
      <c r="A52" s="76"/>
      <c r="B52" s="76"/>
      <c r="C52" s="76"/>
      <c r="D52" s="80"/>
      <c r="E52" s="80"/>
      <c r="F52" s="80"/>
      <c r="G52" s="80"/>
      <c r="H52" s="76"/>
      <c r="I52" s="76"/>
      <c r="J52" s="76"/>
      <c r="K52" s="76"/>
      <c r="L52" s="76"/>
      <c r="M52" s="76"/>
      <c r="N52" s="76"/>
      <c r="O52" s="76"/>
      <c r="P52" s="76"/>
      <c r="Q52" s="76"/>
      <c r="R52" s="76"/>
      <c r="S52" s="76"/>
      <c r="T52" s="76"/>
      <c r="U52" s="76"/>
      <c r="V52" s="76"/>
    </row>
    <row r="53" spans="1:22">
      <c r="D53" s="1"/>
      <c r="E53" s="1"/>
      <c r="F53" s="1"/>
      <c r="G53" s="1"/>
      <c r="R53" s="76"/>
      <c r="S53" s="76"/>
      <c r="T53" s="76"/>
      <c r="U53" s="76"/>
      <c r="V53" s="76"/>
    </row>
    <row r="54" spans="1:22">
      <c r="D54" s="1"/>
      <c r="E54" s="1"/>
      <c r="F54" s="1"/>
      <c r="G54" s="1"/>
      <c r="R54" s="76"/>
      <c r="S54" s="76"/>
      <c r="T54" s="76"/>
      <c r="U54" s="76"/>
      <c r="V54" s="76"/>
    </row>
    <row r="55" spans="1:22">
      <c r="D55" s="1"/>
      <c r="E55" s="1"/>
      <c r="F55" s="1"/>
      <c r="G55" s="1"/>
      <c r="R55" s="76"/>
      <c r="S55" s="76"/>
      <c r="T55" s="76"/>
      <c r="U55" s="76"/>
      <c r="V55" s="76"/>
    </row>
    <row r="56" spans="1:22">
      <c r="D56" s="1"/>
      <c r="E56" s="1"/>
      <c r="F56" s="1"/>
      <c r="G56" s="1"/>
      <c r="R56" s="76"/>
      <c r="S56" s="76"/>
      <c r="T56" s="76"/>
      <c r="U56" s="76"/>
      <c r="V56" s="76"/>
    </row>
    <row r="57" spans="1:22">
      <c r="D57" s="1"/>
      <c r="E57" s="1"/>
      <c r="F57" s="1"/>
      <c r="G57" s="1"/>
      <c r="R57" s="76"/>
      <c r="S57" s="76"/>
      <c r="T57" s="76"/>
      <c r="U57" s="76"/>
      <c r="V57" s="76"/>
    </row>
    <row r="58" spans="1:22">
      <c r="D58" s="1"/>
      <c r="E58" s="1"/>
      <c r="F58" s="1"/>
      <c r="G58" s="1"/>
      <c r="R58" s="76"/>
      <c r="S58" s="76"/>
      <c r="T58" s="76"/>
      <c r="U58" s="76"/>
      <c r="V58" s="76"/>
    </row>
    <row r="59" spans="1:22">
      <c r="D59" s="1"/>
      <c r="E59" s="1"/>
      <c r="F59" s="1"/>
      <c r="G59" s="1"/>
    </row>
    <row r="60" spans="1:22">
      <c r="D60" s="1"/>
      <c r="E60" s="1"/>
      <c r="F60" s="1"/>
      <c r="G60" s="1"/>
    </row>
    <row r="61" spans="1:22">
      <c r="D61" s="1"/>
      <c r="E61" s="1"/>
      <c r="F61" s="1"/>
      <c r="G61" s="1"/>
    </row>
    <row r="62" spans="1:22">
      <c r="D62" s="1"/>
      <c r="E62" s="1"/>
      <c r="F62" s="1"/>
      <c r="G62" s="1"/>
    </row>
    <row r="63" spans="1:22">
      <c r="D63" s="1"/>
      <c r="E63" s="1"/>
      <c r="F63" s="1"/>
      <c r="G63" s="1"/>
    </row>
    <row r="64" spans="1:22">
      <c r="D64" s="1"/>
      <c r="E64" s="1"/>
      <c r="F64" s="1"/>
      <c r="G64" s="1"/>
    </row>
    <row r="65" spans="4:7">
      <c r="D65" s="1"/>
      <c r="E65" s="1"/>
      <c r="F65" s="1"/>
      <c r="G65" s="1"/>
    </row>
    <row r="66" spans="4:7">
      <c r="D66" s="1"/>
      <c r="E66" s="1"/>
      <c r="F66" s="1"/>
      <c r="G66" s="1"/>
    </row>
    <row r="67" spans="4:7">
      <c r="D67" s="1"/>
      <c r="E67" s="1"/>
      <c r="F67" s="1"/>
      <c r="G67" s="1"/>
    </row>
    <row r="68" spans="4:7">
      <c r="D68" s="1"/>
      <c r="E68" s="1"/>
      <c r="F68" s="1"/>
      <c r="G68" s="1"/>
    </row>
    <row r="69" spans="4:7">
      <c r="D69" s="1"/>
      <c r="E69" s="1"/>
      <c r="F69" s="1"/>
      <c r="G69" s="1"/>
    </row>
    <row r="70" spans="4:7">
      <c r="D70" s="1"/>
      <c r="E70" s="1"/>
      <c r="F70" s="1"/>
      <c r="G70" s="1"/>
    </row>
    <row r="71" spans="4:7">
      <c r="D71" s="1"/>
      <c r="E71" s="1"/>
      <c r="F71" s="1"/>
      <c r="G71" s="1"/>
    </row>
    <row r="72" spans="4:7">
      <c r="D72" s="1"/>
      <c r="E72" s="1"/>
      <c r="F72" s="1"/>
      <c r="G72" s="1"/>
    </row>
    <row r="73" spans="4:7">
      <c r="D73" s="1"/>
      <c r="E73" s="1"/>
      <c r="F73" s="1"/>
      <c r="G73" s="1"/>
    </row>
    <row r="74" spans="4:7">
      <c r="D74" s="1"/>
      <c r="E74" s="1"/>
      <c r="F74" s="1"/>
      <c r="G74" s="1"/>
    </row>
    <row r="75" spans="4:7">
      <c r="D75" s="1"/>
      <c r="E75" s="1"/>
      <c r="F75" s="1"/>
      <c r="G75" s="1"/>
    </row>
    <row r="76" spans="4:7">
      <c r="D76" s="1"/>
      <c r="E76" s="1"/>
      <c r="F76" s="1"/>
      <c r="G76" s="1"/>
    </row>
    <row r="77" spans="4:7">
      <c r="D77" s="1"/>
      <c r="E77" s="1"/>
      <c r="F77" s="1"/>
      <c r="G77" s="1"/>
    </row>
    <row r="78" spans="4:7">
      <c r="D78" s="1"/>
      <c r="E78" s="1"/>
      <c r="F78" s="1"/>
      <c r="G78" s="1"/>
    </row>
    <row r="79" spans="4:7">
      <c r="D79" s="1"/>
      <c r="E79" s="1"/>
      <c r="F79" s="1"/>
      <c r="G79" s="1"/>
    </row>
    <row r="80" spans="4:7">
      <c r="D80" s="1"/>
      <c r="E80" s="1"/>
      <c r="F80" s="1"/>
      <c r="G80" s="1"/>
    </row>
    <row r="81" spans="4:7">
      <c r="D81" s="1"/>
      <c r="E81" s="1"/>
      <c r="F81" s="1"/>
      <c r="G81" s="1"/>
    </row>
    <row r="82" spans="4:7">
      <c r="D82" s="1"/>
      <c r="E82" s="1"/>
      <c r="F82" s="1"/>
      <c r="G82" s="1"/>
    </row>
    <row r="83" spans="4:7">
      <c r="D83" s="1"/>
      <c r="E83" s="1"/>
      <c r="F83" s="1"/>
      <c r="G83" s="1"/>
    </row>
    <row r="84" spans="4:7">
      <c r="D84" s="1"/>
      <c r="E84" s="1"/>
      <c r="F84" s="1"/>
      <c r="G84" s="1"/>
    </row>
    <row r="85" spans="4:7">
      <c r="D85" s="1"/>
      <c r="E85" s="1"/>
      <c r="F85" s="1"/>
      <c r="G85" s="1"/>
    </row>
    <row r="86" spans="4:7">
      <c r="D86" s="1"/>
      <c r="E86" s="1"/>
      <c r="F86" s="1"/>
      <c r="G86" s="1"/>
    </row>
    <row r="87" spans="4:7">
      <c r="D87" s="1"/>
      <c r="E87" s="1"/>
      <c r="F87" s="1"/>
      <c r="G87" s="1"/>
    </row>
    <row r="88" spans="4:7">
      <c r="D88" s="1"/>
      <c r="E88" s="1"/>
      <c r="F88" s="1"/>
      <c r="G88" s="1"/>
    </row>
    <row r="89" spans="4:7">
      <c r="D89" s="1"/>
      <c r="E89" s="1"/>
      <c r="F89" s="1"/>
      <c r="G89" s="1"/>
    </row>
    <row r="90" spans="4:7">
      <c r="D90" s="1"/>
      <c r="E90" s="1"/>
      <c r="F90" s="1"/>
      <c r="G90" s="1"/>
    </row>
    <row r="91" spans="4:7">
      <c r="D91" s="1"/>
      <c r="E91" s="1"/>
      <c r="F91" s="1"/>
      <c r="G91" s="1"/>
    </row>
    <row r="92" spans="4:7">
      <c r="D92" s="1"/>
      <c r="E92" s="1"/>
      <c r="F92" s="1"/>
      <c r="G92" s="1"/>
    </row>
    <row r="93" spans="4:7">
      <c r="D93" s="1"/>
      <c r="E93" s="1"/>
      <c r="F93" s="1"/>
      <c r="G93" s="1"/>
    </row>
    <row r="94" spans="4:7">
      <c r="D94" s="1"/>
      <c r="E94" s="1"/>
      <c r="F94" s="1"/>
      <c r="G94" s="1"/>
    </row>
    <row r="95" spans="4:7">
      <c r="D95" s="1"/>
      <c r="E95" s="1"/>
      <c r="F95" s="1"/>
      <c r="G95" s="1"/>
    </row>
    <row r="96" spans="4:7">
      <c r="D96" s="1"/>
      <c r="E96" s="1"/>
      <c r="F96" s="1"/>
      <c r="G96" s="1"/>
    </row>
    <row r="97" spans="4:7">
      <c r="D97" s="1"/>
      <c r="E97" s="1"/>
      <c r="F97" s="1"/>
      <c r="G97" s="1"/>
    </row>
    <row r="98" spans="4:7">
      <c r="D98" s="1"/>
      <c r="E98" s="1"/>
      <c r="F98" s="1"/>
      <c r="G98" s="1"/>
    </row>
    <row r="99" spans="4:7">
      <c r="D99" s="1"/>
      <c r="E99" s="1"/>
      <c r="F99" s="1"/>
      <c r="G99" s="1"/>
    </row>
    <row r="100" spans="4:7">
      <c r="D100" s="1"/>
      <c r="E100" s="1"/>
      <c r="F100" s="1"/>
      <c r="G100" s="1"/>
    </row>
    <row r="101" spans="4:7">
      <c r="D101" s="1"/>
      <c r="E101" s="1"/>
      <c r="F101" s="1"/>
      <c r="G101" s="1"/>
    </row>
    <row r="102" spans="4:7">
      <c r="D102" s="1"/>
      <c r="E102" s="1"/>
      <c r="F102" s="1"/>
      <c r="G102" s="1"/>
    </row>
    <row r="103" spans="4:7">
      <c r="D103" s="1"/>
      <c r="E103" s="1"/>
      <c r="F103" s="1"/>
      <c r="G103" s="1"/>
    </row>
    <row r="104" spans="4:7">
      <c r="D104" s="1"/>
      <c r="E104" s="1"/>
      <c r="F104" s="1"/>
      <c r="G104" s="1"/>
    </row>
    <row r="105" spans="4:7">
      <c r="D105" s="1"/>
      <c r="E105" s="1"/>
      <c r="F105" s="1"/>
      <c r="G105" s="1"/>
    </row>
    <row r="106" spans="4:7">
      <c r="D106" s="1"/>
      <c r="E106" s="1"/>
      <c r="F106" s="1"/>
      <c r="G106" s="1"/>
    </row>
    <row r="107" spans="4:7">
      <c r="D107" s="1"/>
      <c r="E107" s="1"/>
      <c r="F107" s="1"/>
      <c r="G107" s="1"/>
    </row>
    <row r="108" spans="4:7">
      <c r="D108" s="1"/>
      <c r="E108" s="1"/>
      <c r="F108" s="1"/>
      <c r="G108" s="1"/>
    </row>
    <row r="109" spans="4:7">
      <c r="D109" s="1"/>
      <c r="E109" s="1"/>
      <c r="F109" s="1"/>
      <c r="G109" s="1"/>
    </row>
    <row r="110" spans="4:7">
      <c r="D110" s="1"/>
      <c r="E110" s="1"/>
      <c r="F110" s="1"/>
      <c r="G110" s="1"/>
    </row>
    <row r="111" spans="4:7">
      <c r="D111" s="1"/>
      <c r="E111" s="1"/>
      <c r="F111" s="1"/>
      <c r="G111" s="1"/>
    </row>
    <row r="112" spans="4:7">
      <c r="D112" s="1"/>
      <c r="E112" s="1"/>
      <c r="F112" s="1"/>
      <c r="G112" s="1"/>
    </row>
    <row r="113" spans="4:7">
      <c r="D113" s="1"/>
      <c r="E113" s="1"/>
      <c r="F113" s="1"/>
      <c r="G113" s="1"/>
    </row>
    <row r="114" spans="4:7">
      <c r="D114" s="1"/>
      <c r="E114" s="1"/>
      <c r="F114" s="1"/>
      <c r="G114" s="1"/>
    </row>
    <row r="115" spans="4:7">
      <c r="D115" s="1"/>
      <c r="E115" s="1"/>
      <c r="F115" s="1"/>
      <c r="G115" s="1"/>
    </row>
    <row r="116" spans="4:7">
      <c r="D116" s="1"/>
      <c r="E116" s="1"/>
      <c r="F116" s="1"/>
      <c r="G116" s="1"/>
    </row>
    <row r="117" spans="4:7">
      <c r="D117" s="1"/>
      <c r="E117" s="1"/>
      <c r="F117" s="1"/>
      <c r="G117" s="1"/>
    </row>
    <row r="118" spans="4:7">
      <c r="D118" s="1"/>
      <c r="E118" s="1"/>
      <c r="F118" s="1"/>
      <c r="G118" s="1"/>
    </row>
    <row r="119" spans="4:7">
      <c r="D119" s="1"/>
      <c r="E119" s="1"/>
      <c r="F119" s="1"/>
      <c r="G119" s="1"/>
    </row>
    <row r="120" spans="4:7">
      <c r="D120" s="1"/>
      <c r="E120" s="1"/>
      <c r="F120" s="1"/>
      <c r="G120" s="1"/>
    </row>
    <row r="121" spans="4:7">
      <c r="D121" s="1"/>
      <c r="E121" s="1"/>
      <c r="F121" s="1"/>
      <c r="G121" s="1"/>
    </row>
    <row r="122" spans="4:7">
      <c r="D122" s="1"/>
      <c r="E122" s="1"/>
      <c r="F122" s="1"/>
      <c r="G122" s="1"/>
    </row>
    <row r="123" spans="4:7">
      <c r="D123" s="1"/>
      <c r="E123" s="1"/>
      <c r="F123" s="1"/>
      <c r="G123" s="1"/>
    </row>
    <row r="124" spans="4:7">
      <c r="D124" s="1"/>
      <c r="E124" s="1"/>
      <c r="F124" s="1"/>
      <c r="G124" s="1"/>
    </row>
    <row r="125" spans="4:7">
      <c r="D125" s="1"/>
      <c r="E125" s="1"/>
      <c r="F125" s="1"/>
      <c r="G125" s="1"/>
    </row>
    <row r="126" spans="4:7">
      <c r="D126" s="1"/>
      <c r="E126" s="1"/>
      <c r="F126" s="1"/>
      <c r="G126" s="1"/>
    </row>
    <row r="127" spans="4:7">
      <c r="D127" s="1"/>
      <c r="E127" s="1"/>
      <c r="F127" s="1"/>
      <c r="G127" s="1"/>
    </row>
    <row r="128" spans="4:7">
      <c r="D128" s="1"/>
      <c r="E128" s="1"/>
      <c r="F128" s="1"/>
      <c r="G128" s="1"/>
    </row>
    <row r="129" spans="4:7">
      <c r="D129" s="1"/>
      <c r="E129" s="1"/>
      <c r="F129" s="1"/>
      <c r="G129" s="1"/>
    </row>
    <row r="130" spans="4:7">
      <c r="D130" s="1"/>
      <c r="E130" s="1"/>
      <c r="F130" s="1"/>
      <c r="G130" s="1"/>
    </row>
    <row r="131" spans="4:7">
      <c r="D131" s="1"/>
      <c r="E131" s="1"/>
      <c r="F131" s="1"/>
      <c r="G131" s="1"/>
    </row>
    <row r="132" spans="4:7">
      <c r="D132" s="1"/>
      <c r="E132" s="1"/>
      <c r="F132" s="1"/>
      <c r="G132" s="1"/>
    </row>
    <row r="133" spans="4:7">
      <c r="D133" s="1"/>
      <c r="E133" s="1"/>
      <c r="F133" s="1"/>
      <c r="G133" s="1"/>
    </row>
    <row r="134" spans="4:7">
      <c r="D134" s="1"/>
      <c r="E134" s="1"/>
      <c r="F134" s="1"/>
      <c r="G134" s="1"/>
    </row>
    <row r="135" spans="4:7">
      <c r="D135" s="1"/>
      <c r="E135" s="1"/>
      <c r="F135" s="1"/>
      <c r="G135" s="1"/>
    </row>
    <row r="136" spans="4:7">
      <c r="D136" s="1"/>
      <c r="E136" s="1"/>
      <c r="F136" s="1"/>
      <c r="G136" s="1"/>
    </row>
    <row r="137" spans="4:7">
      <c r="D137" s="1"/>
      <c r="E137" s="1"/>
      <c r="F137" s="1"/>
      <c r="G137" s="1"/>
    </row>
    <row r="138" spans="4:7">
      <c r="D138" s="1"/>
      <c r="E138" s="1"/>
      <c r="F138" s="1"/>
      <c r="G138" s="1"/>
    </row>
    <row r="139" spans="4:7">
      <c r="D139" s="1"/>
      <c r="E139" s="1"/>
      <c r="F139" s="1"/>
      <c r="G139" s="1"/>
    </row>
    <row r="140" spans="4:7">
      <c r="D140" s="1"/>
      <c r="E140" s="1"/>
      <c r="F140" s="1"/>
      <c r="G140" s="1"/>
    </row>
    <row r="141" spans="4:7">
      <c r="D141" s="1"/>
      <c r="E141" s="1"/>
      <c r="F141" s="1"/>
      <c r="G141" s="1"/>
    </row>
    <row r="142" spans="4:7">
      <c r="D142" s="1"/>
      <c r="E142" s="1"/>
      <c r="F142" s="1"/>
      <c r="G142" s="1"/>
    </row>
    <row r="143" spans="4:7">
      <c r="D143" s="1"/>
      <c r="E143" s="1"/>
      <c r="F143" s="1"/>
      <c r="G143" s="1"/>
    </row>
    <row r="144" spans="4:7">
      <c r="D144" s="1"/>
      <c r="E144" s="1"/>
      <c r="F144" s="1"/>
      <c r="G144" s="1"/>
    </row>
    <row r="145" spans="4:7">
      <c r="D145" s="1"/>
      <c r="E145" s="1"/>
      <c r="F145" s="1"/>
      <c r="G145" s="1"/>
    </row>
    <row r="146" spans="4:7">
      <c r="D146" s="1"/>
      <c r="E146" s="1"/>
      <c r="F146" s="1"/>
      <c r="G146" s="1"/>
    </row>
    <row r="147" spans="4:7">
      <c r="D147" s="1"/>
      <c r="E147" s="1"/>
      <c r="F147" s="1"/>
      <c r="G147" s="1"/>
    </row>
    <row r="148" spans="4:7">
      <c r="D148" s="1"/>
      <c r="E148" s="1"/>
      <c r="F148" s="1"/>
      <c r="G148" s="1"/>
    </row>
    <row r="149" spans="4:7">
      <c r="D149" s="1"/>
      <c r="E149" s="1"/>
      <c r="F149" s="1"/>
      <c r="G149" s="1"/>
    </row>
    <row r="150" spans="4:7">
      <c r="D150" s="1"/>
      <c r="E150" s="1"/>
      <c r="F150" s="1"/>
      <c r="G150" s="1"/>
    </row>
    <row r="151" spans="4:7">
      <c r="D151" s="1"/>
      <c r="E151" s="1"/>
      <c r="F151" s="1"/>
      <c r="G151" s="1"/>
    </row>
    <row r="152" spans="4:7">
      <c r="D152" s="1"/>
      <c r="E152" s="1"/>
      <c r="F152" s="1"/>
      <c r="G152" s="1"/>
    </row>
    <row r="153" spans="4:7">
      <c r="D153" s="1"/>
      <c r="E153" s="1"/>
      <c r="F153" s="1"/>
      <c r="G153" s="1"/>
    </row>
    <row r="154" spans="4:7">
      <c r="D154" s="1"/>
      <c r="E154" s="1"/>
      <c r="F154" s="1"/>
      <c r="G154" s="1"/>
    </row>
    <row r="155" spans="4:7">
      <c r="D155" s="1"/>
      <c r="E155" s="1"/>
      <c r="F155" s="1"/>
      <c r="G155" s="1"/>
    </row>
    <row r="156" spans="4:7">
      <c r="D156" s="1"/>
      <c r="E156" s="1"/>
      <c r="F156" s="1"/>
      <c r="G156" s="1"/>
    </row>
    <row r="157" spans="4:7">
      <c r="D157" s="1"/>
      <c r="E157" s="1"/>
      <c r="F157" s="1"/>
      <c r="G157" s="1"/>
    </row>
  </sheetData>
  <phoneticPr fontId="0" type="noConversion"/>
  <hyperlinks>
    <hyperlink ref="A1" location="Menu!A1" display="Menu!A1" xr:uid="{00000000-0004-0000-1500-000000000000}"/>
  </hyperlinks>
  <pageMargins left="0.74803149606299213" right="0.74803149606299213" top="0.98425196850393704" bottom="0.98425196850393704" header="0.51181102362204722" footer="0.51181102362204722"/>
  <pageSetup paperSize="9" scale="70"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7030A0"/>
    <pageSetUpPr fitToPage="1"/>
  </sheetPr>
  <dimension ref="A1:G152"/>
  <sheetViews>
    <sheetView zoomScaleNormal="100" workbookViewId="0">
      <pane ySplit="1" topLeftCell="A129" activePane="bottomLeft" state="frozen"/>
      <selection pane="bottomLeft" activeCell="B155" sqref="B155"/>
    </sheetView>
  </sheetViews>
  <sheetFormatPr defaultRowHeight="12.75"/>
  <cols>
    <col min="1" max="1" width="23.1328125" customWidth="1"/>
    <col min="2" max="2" width="23.73046875" customWidth="1"/>
    <col min="3" max="3" width="11.265625" style="520" customWidth="1"/>
    <col min="4" max="4" width="9.73046875" customWidth="1"/>
    <col min="5" max="5" width="12" customWidth="1"/>
    <col min="6" max="6" width="11.86328125" customWidth="1"/>
    <col min="7" max="7" width="12.1328125" customWidth="1"/>
  </cols>
  <sheetData>
    <row r="1" spans="1:7" ht="18" customHeight="1" thickBot="1">
      <c r="A1" s="111" t="str">
        <f>IF(Picks!A1="","",Picks!A1)</f>
        <v>Player</v>
      </c>
      <c r="B1" s="111" t="str">
        <f>IF(Picks!E1="","",Picks!E1)</f>
        <v>Prediction</v>
      </c>
      <c r="C1" s="517" t="str">
        <f>IF(Picks!F1="","",Picks!F1)</f>
        <v>Day</v>
      </c>
      <c r="D1" s="112" t="str">
        <f>IF(Picks!G1="","",Picks!G1)</f>
        <v>Decimal</v>
      </c>
      <c r="E1" s="113" t="str">
        <f>IF(Picks!H1="","",Picks!H1)</f>
        <v>Bet in?</v>
      </c>
      <c r="F1" s="114" t="str">
        <f>IF(Picks!I1="","",Picks!I1)</f>
        <v>Score</v>
      </c>
      <c r="G1" s="114" t="str">
        <f>IF(Picks!J1="","",Picks!J1)</f>
        <v>Max</v>
      </c>
    </row>
    <row r="2" spans="1:7" ht="13.9" thickTop="1" thickBot="1">
      <c r="A2" s="104" t="str">
        <f>IF(Picks!A2="","",Picks!A2)</f>
        <v>Alan Bond</v>
      </c>
      <c r="B2" s="105" t="str">
        <f>IF(Picks!E2="","",Picks!E2)</f>
        <v>Israel draw</v>
      </c>
      <c r="C2" s="518">
        <f>IF(Picks!F2="","",Picks!F2)</f>
        <v>1</v>
      </c>
      <c r="D2" s="106">
        <f>IF(Picks!G2="","",Picks!G2)</f>
        <v>3.1</v>
      </c>
      <c r="E2" s="107" t="str">
        <f>IF(Picks!H2="","",Picks!H2)</f>
        <v>x</v>
      </c>
      <c r="F2" s="108">
        <f>IF(Picks!I2="","",Picks!I2)</f>
        <v>-3.9</v>
      </c>
      <c r="G2" s="109">
        <f>IF(Picks!J2="","",Picks!J2)</f>
        <v>64.283000000000001</v>
      </c>
    </row>
    <row r="3" spans="1:7" ht="13.15">
      <c r="A3" s="110"/>
      <c r="B3" s="59" t="str">
        <f>IF(Picks!E3="","",Picks!E3)</f>
        <v>Lithuania draw</v>
      </c>
      <c r="C3" s="518">
        <f>IF(Picks!F3="","",Picks!F3)</f>
        <v>1</v>
      </c>
      <c r="D3" s="44">
        <f>IF(Picks!G3="","",Picks!G3)</f>
        <v>3.1</v>
      </c>
      <c r="E3" s="79" t="str">
        <f>IF(Picks!H3="","",Picks!H3)</f>
        <v>√</v>
      </c>
      <c r="F3" s="127" t="str">
        <f>IF(Picks!I3="","",Picks!I3)</f>
        <v/>
      </c>
      <c r="G3" s="44" t="str">
        <f>IF(Picks!J3="","",Picks!J3)</f>
        <v/>
      </c>
    </row>
    <row r="4" spans="1:7" ht="13.5" thickBot="1">
      <c r="A4" s="128"/>
      <c r="B4" s="123" t="str">
        <f>IF(Picks!E4="","",Picks!E4)</f>
        <v>Norway draw</v>
      </c>
      <c r="C4" s="519">
        <f>IF(Picks!F4="","",Picks!F4)</f>
        <v>1</v>
      </c>
      <c r="D4" s="124">
        <f>IF(Picks!G4="","",Picks!G4)</f>
        <v>3.3</v>
      </c>
      <c r="E4" s="79" t="str">
        <f>IF(Picks!H4="","",Picks!H4)</f>
        <v>x</v>
      </c>
      <c r="F4" s="127" t="str">
        <f>IF(Picks!I4="","",Picks!I4)</f>
        <v/>
      </c>
      <c r="G4" s="44" t="str">
        <f>IF(Picks!J4="","",Picks!J4)</f>
        <v/>
      </c>
    </row>
    <row r="5" spans="1:7" ht="13.9" thickTop="1" thickBot="1">
      <c r="A5" s="110" t="str">
        <f>IF(Picks!A5="","",Picks!A5)</f>
        <v>Alan Rogers</v>
      </c>
      <c r="B5" s="105" t="str">
        <f>IF(Picks!E5="","",Picks!E5)</f>
        <v>Cheltenham</v>
      </c>
      <c r="C5" s="518">
        <f>IF(Picks!F5="","",Picks!F5)</f>
        <v>7</v>
      </c>
      <c r="D5" s="106">
        <f>IF(Picks!G5="","",Picks!G5)</f>
        <v>2.9</v>
      </c>
      <c r="E5" s="107" t="str">
        <f>IF(Picks!H5="","",Picks!H5)</f>
        <v>√</v>
      </c>
      <c r="F5" s="108">
        <f>IF(Picks!I5="","",Picks!I5)</f>
        <v>9.16</v>
      </c>
      <c r="G5" s="109">
        <f>IF(Picks!J5="","",Picks!J5)</f>
        <v>44.337999999999994</v>
      </c>
    </row>
    <row r="6" spans="1:7" ht="13.15">
      <c r="A6" s="110"/>
      <c r="B6" s="59" t="str">
        <f>IF(Picks!E6="","",Picks!E6)</f>
        <v>Rotherham draw</v>
      </c>
      <c r="C6" s="518">
        <f>IF(Picks!F6="","",Picks!F6)</f>
        <v>7</v>
      </c>
      <c r="D6" s="44">
        <f>IF(Picks!G6="","",Picks!G6)</f>
        <v>3.4</v>
      </c>
      <c r="E6" s="79" t="str">
        <f>IF(Picks!H6="","",Picks!H6)</f>
        <v>√</v>
      </c>
      <c r="F6" s="127" t="str">
        <f>IF(Picks!I6="","",Picks!I6)</f>
        <v/>
      </c>
      <c r="G6" s="44" t="str">
        <f>IF(Picks!J6="","",Picks!J6)</f>
        <v/>
      </c>
    </row>
    <row r="7" spans="1:7" ht="13.5" thickBot="1">
      <c r="A7" s="128"/>
      <c r="B7" s="123" t="str">
        <f>IF(Picks!E7="","",Picks!E7)</f>
        <v>Swindon</v>
      </c>
      <c r="C7" s="519">
        <f>IF(Picks!F7="","",Picks!F7)</f>
        <v>7</v>
      </c>
      <c r="D7" s="124">
        <f>IF(Picks!G7="","",Picks!G7)</f>
        <v>2.0499999999999998</v>
      </c>
      <c r="E7" s="79" t="str">
        <f>IF(Picks!H7="","",Picks!H7)</f>
        <v>x</v>
      </c>
      <c r="F7" s="127" t="str">
        <f>IF(Picks!I7="","",Picks!I7)</f>
        <v/>
      </c>
      <c r="G7" s="44" t="str">
        <f>IF(Picks!J7="","",Picks!J7)</f>
        <v/>
      </c>
    </row>
    <row r="8" spans="1:7" ht="13.9" thickTop="1" thickBot="1">
      <c r="A8" s="110" t="str">
        <f>IF(Picks!A8="","",Picks!A8)</f>
        <v>Alan White</v>
      </c>
      <c r="B8" s="105" t="str">
        <f>IF(Picks!E8="","",Picks!E8)</f>
        <v>Swindon</v>
      </c>
      <c r="C8" s="518">
        <f>IF(Picks!F8="","",Picks!F8)</f>
        <v>7</v>
      </c>
      <c r="D8" s="106">
        <f>IF(Picks!G8="","",Picks!G8)</f>
        <v>2.0499999999999998</v>
      </c>
      <c r="E8" s="107" t="str">
        <f>IF(Picks!H8="","",Picks!H8)</f>
        <v>x</v>
      </c>
      <c r="F8" s="108">
        <f>IF(Picks!I8="","",Picks!I8)</f>
        <v>-5.6363636363636367</v>
      </c>
      <c r="G8" s="109">
        <f>IF(Picks!J8="","",Picks!J8)</f>
        <v>10.854545454545455</v>
      </c>
    </row>
    <row r="9" spans="1:7" ht="13.15">
      <c r="A9" s="110"/>
      <c r="B9" s="59" t="str">
        <f>IF(Picks!E9="","",Picks!E9)</f>
        <v>Plymouth</v>
      </c>
      <c r="C9" s="518">
        <f>IF(Picks!F9="","",Picks!F9)</f>
        <v>7</v>
      </c>
      <c r="D9" s="44">
        <f>IF(Picks!G9="","",Picks!G9)</f>
        <v>1.6153846153846154</v>
      </c>
      <c r="E9" s="79" t="str">
        <f>IF(Picks!H9="","",Picks!H9)</f>
        <v>x</v>
      </c>
      <c r="F9" s="127" t="str">
        <f>IF(Picks!I9="","",Picks!I9)</f>
        <v/>
      </c>
      <c r="G9" s="44" t="str">
        <f>IF(Picks!J9="","",Picks!J9)</f>
        <v/>
      </c>
    </row>
    <row r="10" spans="1:7" ht="13.5" thickBot="1">
      <c r="A10" s="128"/>
      <c r="B10" s="123" t="str">
        <f>IF(Picks!E10="","",Picks!E10)</f>
        <v>Stockport</v>
      </c>
      <c r="C10" s="519">
        <f>IF(Picks!F10="","",Picks!F10)</f>
        <v>7</v>
      </c>
      <c r="D10" s="124">
        <f>IF(Picks!G10="","",Picks!G10)</f>
        <v>1.3636363636363638</v>
      </c>
      <c r="E10" s="79" t="str">
        <f>IF(Picks!H10="","",Picks!H10)</f>
        <v>√</v>
      </c>
      <c r="F10" s="127" t="str">
        <f>IF(Picks!I10="","",Picks!I10)</f>
        <v/>
      </c>
      <c r="G10" s="44" t="str">
        <f>IF(Picks!J10="","",Picks!J10)</f>
        <v/>
      </c>
    </row>
    <row r="11" spans="1:7" ht="13.9" thickTop="1" thickBot="1">
      <c r="A11" s="110" t="str">
        <f>IF(Picks!A11="","",Picks!A11)</f>
        <v>Alex Griffin</v>
      </c>
      <c r="B11" s="105" t="str">
        <f>IF(Picks!E11="","",Picks!E11)</f>
        <v>Altrincham</v>
      </c>
      <c r="C11" s="518">
        <f>IF(Picks!F11="","",Picks!F11)</f>
        <v>1</v>
      </c>
      <c r="D11" s="106">
        <f>IF(Picks!G11="","",Picks!G11)</f>
        <v>2.2000000000000002</v>
      </c>
      <c r="E11" s="107" t="str">
        <f>IF(Picks!H11="","",Picks!H11)</f>
        <v>√</v>
      </c>
      <c r="F11" s="108">
        <f>IF(Picks!I11="","",Picks!I11)</f>
        <v>-4.8</v>
      </c>
      <c r="G11" s="109">
        <f>IF(Picks!J11="","",Picks!J11)</f>
        <v>17.080000000000005</v>
      </c>
    </row>
    <row r="12" spans="1:7" ht="13.15">
      <c r="A12" s="110"/>
      <c r="B12" s="59" t="str">
        <f>IF(Picks!E12="","",Picks!E12)</f>
        <v>Southend</v>
      </c>
      <c r="C12" s="518">
        <f>IF(Picks!F12="","",Picks!F12)</f>
        <v>1</v>
      </c>
      <c r="D12" s="44">
        <f>IF(Picks!G12="","",Picks!G12)</f>
        <v>1.75</v>
      </c>
      <c r="E12" s="79" t="str">
        <f>IF(Picks!H12="","",Picks!H12)</f>
        <v>x</v>
      </c>
      <c r="F12" s="127" t="str">
        <f>IF(Picks!I12="","",Picks!I12)</f>
        <v/>
      </c>
      <c r="G12" s="44" t="str">
        <f>IF(Picks!J12="","",Picks!J12)</f>
        <v/>
      </c>
    </row>
    <row r="13" spans="1:7" ht="13.5" thickBot="1">
      <c r="A13" s="128"/>
      <c r="B13" s="123" t="str">
        <f>IF(Picks!E13="","",Picks!E13)</f>
        <v>Fleetwood</v>
      </c>
      <c r="C13" s="519">
        <f>IF(Picks!F13="","",Picks!F13)</f>
        <v>7</v>
      </c>
      <c r="D13" s="124">
        <f>IF(Picks!G13="","",Picks!G13)</f>
        <v>1.85</v>
      </c>
      <c r="E13" s="79" t="str">
        <f>IF(Picks!H13="","",Picks!H13)</f>
        <v>x</v>
      </c>
      <c r="F13" s="127" t="str">
        <f>IF(Picks!I13="","",Picks!I13)</f>
        <v/>
      </c>
      <c r="G13" s="44" t="str">
        <f>IF(Picks!J13="","",Picks!J13)</f>
        <v/>
      </c>
    </row>
    <row r="14" spans="1:7" ht="13.9" thickTop="1" thickBot="1">
      <c r="A14" s="110" t="str">
        <f>IF(Picks!A14="","",Picks!A14)</f>
        <v>Alick Rocca</v>
      </c>
      <c r="B14" s="105" t="str">
        <f>IF(Picks!E14="","",Picks!E14)</f>
        <v>Wycombe draw</v>
      </c>
      <c r="C14" s="518">
        <f>IF(Picks!F14="","",Picks!F14)</f>
        <v>7</v>
      </c>
      <c r="D14" s="106">
        <f>IF(Picks!G14="","",Picks!G14)</f>
        <v>3.4</v>
      </c>
      <c r="E14" s="107" t="str">
        <f>IF(Picks!H14="","",Picks!H14)</f>
        <v>√</v>
      </c>
      <c r="F14" s="108">
        <f>IF(Picks!I14="","",Picks!I14)</f>
        <v>9.6000000000000014</v>
      </c>
      <c r="G14" s="109">
        <f>IF(Picks!J14="","",Picks!J14)</f>
        <v>72.960000000000008</v>
      </c>
    </row>
    <row r="15" spans="1:7" ht="13.15">
      <c r="A15" s="110"/>
      <c r="B15" s="59" t="str">
        <f>IF(Picks!E15="","",Picks!E15)</f>
        <v>Oldham draw</v>
      </c>
      <c r="C15" s="518">
        <f>IF(Picks!F15="","",Picks!F15)</f>
        <v>7</v>
      </c>
      <c r="D15" s="44">
        <f>IF(Picks!G15="","",Picks!G15)</f>
        <v>3.6</v>
      </c>
      <c r="E15" s="79" t="str">
        <f>IF(Picks!H15="","",Picks!H15)</f>
        <v>x</v>
      </c>
      <c r="F15" s="127" t="str">
        <f>IF(Picks!I15="","",Picks!I15)</f>
        <v/>
      </c>
      <c r="G15" s="44" t="str">
        <f>IF(Picks!J15="","",Picks!J15)</f>
        <v/>
      </c>
    </row>
    <row r="16" spans="1:7" ht="13.5" thickBot="1">
      <c r="A16" s="128"/>
      <c r="B16" s="123" t="str">
        <f>IF(Picks!E16="","",Picks!E16)</f>
        <v>Shrewsbury draw</v>
      </c>
      <c r="C16" s="519">
        <f>IF(Picks!F16="","",Picks!F16)</f>
        <v>7</v>
      </c>
      <c r="D16" s="124">
        <f>IF(Picks!G16="","",Picks!G16)</f>
        <v>3</v>
      </c>
      <c r="E16" s="79" t="str">
        <f>IF(Picks!H16="","",Picks!H16)</f>
        <v>√</v>
      </c>
      <c r="F16" s="127" t="str">
        <f>IF(Picks!I16="","",Picks!I16)</f>
        <v/>
      </c>
      <c r="G16" s="44" t="str">
        <f>IF(Picks!J16="","",Picks!J16)</f>
        <v/>
      </c>
    </row>
    <row r="17" spans="1:7" ht="13.9" thickTop="1" thickBot="1">
      <c r="A17" s="110" t="str">
        <f>IF(Picks!A17="","",Picks!A17)</f>
        <v>Andy White</v>
      </c>
      <c r="B17" s="105" t="str">
        <f>IF(Picks!E17="","",Picks!E17)</f>
        <v>Italy</v>
      </c>
      <c r="C17" s="518">
        <f>IF(Picks!F17="","",Picks!F17)</f>
        <v>6</v>
      </c>
      <c r="D17" s="106">
        <f>IF(Picks!G17="","",Picks!G17)</f>
        <v>2.1</v>
      </c>
      <c r="E17" s="107" t="str">
        <f>IF(Picks!H17="","",Picks!H17)</f>
        <v>x</v>
      </c>
      <c r="F17" s="108">
        <f>IF(Picks!I17="","",Picks!I17)</f>
        <v>-4.5999999999999996</v>
      </c>
      <c r="G17" s="109">
        <f>IF(Picks!J17="","",Picks!J17)</f>
        <v>29.944000000000003</v>
      </c>
    </row>
    <row r="18" spans="1:7" ht="13.15">
      <c r="A18" s="110"/>
      <c r="B18" s="59" t="str">
        <f>IF(Picks!E18="","",Picks!E18)</f>
        <v>Spain</v>
      </c>
      <c r="C18" s="518">
        <f>IF(Picks!F18="","",Picks!F18)</f>
        <v>7</v>
      </c>
      <c r="D18" s="44">
        <f>IF(Picks!G18="","",Picks!G18)</f>
        <v>2.4</v>
      </c>
      <c r="E18" s="79" t="str">
        <f>IF(Picks!H18="","",Picks!H18)</f>
        <v>√</v>
      </c>
      <c r="F18" s="127" t="str">
        <f>IF(Picks!I18="","",Picks!I18)</f>
        <v/>
      </c>
      <c r="G18" s="44" t="str">
        <f>IF(Picks!J18="","",Picks!J18)</f>
        <v/>
      </c>
    </row>
    <row r="19" spans="1:7" ht="13.5" thickBot="1">
      <c r="A19" s="128"/>
      <c r="B19" s="123" t="str">
        <f>IF(Picks!E19="","",Picks!E19)</f>
        <v>Slovenia</v>
      </c>
      <c r="C19" s="519">
        <f>IF(Picks!F19="","",Picks!F19)</f>
        <v>7</v>
      </c>
      <c r="D19" s="124">
        <f>IF(Picks!G19="","",Picks!G19)</f>
        <v>2.6</v>
      </c>
      <c r="E19" s="79" t="str">
        <f>IF(Picks!H19="","",Picks!H19)</f>
        <v>x</v>
      </c>
      <c r="F19" s="127" t="str">
        <f>IF(Picks!I19="","",Picks!I19)</f>
        <v/>
      </c>
      <c r="G19" s="44" t="str">
        <f>IF(Picks!J19="","",Picks!J19)</f>
        <v/>
      </c>
    </row>
    <row r="20" spans="1:7" ht="13.9" thickTop="1" thickBot="1">
      <c r="A20" s="110" t="str">
        <f>IF(Picks!A20="","",Picks!A20)</f>
        <v>Barry Birchall</v>
      </c>
      <c r="B20" s="105" t="str">
        <f>IF(Picks!E20="","",Picks!E20)</f>
        <v>Plymouth</v>
      </c>
      <c r="C20" s="518">
        <f>IF(Picks!F20="","",Picks!F20)</f>
        <v>7</v>
      </c>
      <c r="D20" s="106">
        <f>IF(Picks!G20="","",Picks!G20)</f>
        <v>1.6153846153846154</v>
      </c>
      <c r="E20" s="107" t="str">
        <f>IF(Picks!H20="","",Picks!H20)</f>
        <v>x</v>
      </c>
      <c r="F20" s="108">
        <f>IF(Picks!I20="","",Picks!I20)</f>
        <v>-5.6363636363636367</v>
      </c>
      <c r="G20" s="109">
        <f>IF(Picks!J20="","",Picks!J20)</f>
        <v>10.854545454545452</v>
      </c>
    </row>
    <row r="21" spans="1:7" ht="13.15">
      <c r="A21" s="110"/>
      <c r="B21" s="59" t="str">
        <f>IF(Picks!E21="","",Picks!E21)</f>
        <v>Stockport</v>
      </c>
      <c r="C21" s="518">
        <f>IF(Picks!F21="","",Picks!F21)</f>
        <v>7</v>
      </c>
      <c r="D21" s="44">
        <f>IF(Picks!G21="","",Picks!G21)</f>
        <v>1.3636363636363638</v>
      </c>
      <c r="E21" s="79" t="str">
        <f>IF(Picks!H21="","",Picks!H21)</f>
        <v>√</v>
      </c>
      <c r="F21" s="127" t="str">
        <f>IF(Picks!I21="","",Picks!I21)</f>
        <v/>
      </c>
      <c r="G21" s="44" t="str">
        <f>IF(Picks!J21="","",Picks!J21)</f>
        <v/>
      </c>
    </row>
    <row r="22" spans="1:7" ht="13.5" thickBot="1">
      <c r="A22" s="128"/>
      <c r="B22" s="123" t="str">
        <f>IF(Picks!E22="","",Picks!E22)</f>
        <v>Swindon</v>
      </c>
      <c r="C22" s="519">
        <f>IF(Picks!F22="","",Picks!F22)</f>
        <v>7</v>
      </c>
      <c r="D22" s="124">
        <f>IF(Picks!G22="","",Picks!G22)</f>
        <v>2.0499999999999998</v>
      </c>
      <c r="E22" s="79" t="str">
        <f>IF(Picks!H22="","",Picks!H22)</f>
        <v>x</v>
      </c>
      <c r="F22" s="127" t="str">
        <f>IF(Picks!I22="","",Picks!I22)</f>
        <v/>
      </c>
      <c r="G22" s="44" t="str">
        <f>IF(Picks!J22="","",Picks!J22)</f>
        <v/>
      </c>
    </row>
    <row r="23" spans="1:7" ht="13.9" thickTop="1" thickBot="1">
      <c r="A23" s="110" t="str">
        <f>IF(Picks!A23="","",Picks!A23)</f>
        <v>Ben Rosser</v>
      </c>
      <c r="B23" s="105" t="str">
        <f>IF(Picks!E23="","",Picks!E23)</f>
        <v>Belgium</v>
      </c>
      <c r="C23" s="518">
        <f>IF(Picks!F23="","",Picks!F23)</f>
        <v>6</v>
      </c>
      <c r="D23" s="106">
        <f>IF(Picks!G23="","",Picks!G23)</f>
        <v>3.1</v>
      </c>
      <c r="E23" s="107" t="str">
        <f>IF(Picks!H23="","",Picks!H23)</f>
        <v>√</v>
      </c>
      <c r="F23" s="108">
        <f>IF(Picks!I23="","",Picks!I23)</f>
        <v>5.9399999999999995</v>
      </c>
      <c r="G23" s="109">
        <f>IF(Picks!J23="","",Picks!J23)</f>
        <v>42.184000000000005</v>
      </c>
    </row>
    <row r="24" spans="1:7" ht="13.15">
      <c r="A24" s="110"/>
      <c r="B24" s="59" t="str">
        <f>IF(Picks!E24="","",Picks!E24)</f>
        <v>Spain</v>
      </c>
      <c r="C24" s="518">
        <f>IF(Picks!F24="","",Picks!F24)</f>
        <v>7</v>
      </c>
      <c r="D24" s="44">
        <f>IF(Picks!G24="","",Picks!G24)</f>
        <v>2.4</v>
      </c>
      <c r="E24" s="79" t="str">
        <f>IF(Picks!H24="","",Picks!H24)</f>
        <v>√</v>
      </c>
      <c r="F24" s="127" t="str">
        <f>IF(Picks!I24="","",Picks!I24)</f>
        <v/>
      </c>
      <c r="G24" s="44" t="str">
        <f>IF(Picks!J24="","",Picks!J24)</f>
        <v/>
      </c>
    </row>
    <row r="25" spans="1:7" ht="13.5" thickBot="1">
      <c r="A25" s="128"/>
      <c r="B25" s="123" t="str">
        <f>IF(Picks!E25="","",Picks!E25)</f>
        <v>Slovenia</v>
      </c>
      <c r="C25" s="519">
        <f>IF(Picks!F25="","",Picks!F25)</f>
        <v>7</v>
      </c>
      <c r="D25" s="124">
        <f>IF(Picks!G25="","",Picks!G25)</f>
        <v>2.6</v>
      </c>
      <c r="E25" s="79" t="str">
        <f>IF(Picks!H25="","",Picks!H25)</f>
        <v>x</v>
      </c>
      <c r="F25" s="127" t="str">
        <f>IF(Picks!I25="","",Picks!I25)</f>
        <v/>
      </c>
      <c r="G25" s="44" t="str">
        <f>IF(Picks!J25="","",Picks!J25)</f>
        <v/>
      </c>
    </row>
    <row r="26" spans="1:7" ht="13.9" thickTop="1" thickBot="1">
      <c r="A26" s="110" t="str">
        <f>IF(Picks!A26="","",Picks!A26)</f>
        <v>Bob Bailey</v>
      </c>
      <c r="B26" s="105" t="str">
        <f>IF(Picks!E26="","",Picks!E26)</f>
        <v>Plymouth</v>
      </c>
      <c r="C26" s="518">
        <f>IF(Picks!F26="","",Picks!F26)</f>
        <v>7</v>
      </c>
      <c r="D26" s="106">
        <f>IF(Picks!G26="","",Picks!G26)</f>
        <v>1.6153846153846154</v>
      </c>
      <c r="E26" s="107" t="str">
        <f>IF(Picks!H26="","",Picks!H26)</f>
        <v>x</v>
      </c>
      <c r="F26" s="108">
        <f>IF(Picks!I26="","",Picks!I26)</f>
        <v>-4.5999999999999996</v>
      </c>
      <c r="G26" s="109">
        <f>IF(Picks!J26="","",Picks!J26)</f>
        <v>17.343076923076922</v>
      </c>
    </row>
    <row r="27" spans="1:7" ht="13.15">
      <c r="A27" s="110"/>
      <c r="B27" s="59" t="str">
        <f>IF(Picks!E27="","",Picks!E27)</f>
        <v>Fleetwood</v>
      </c>
      <c r="C27" s="518">
        <f>IF(Picks!F27="","",Picks!F27)</f>
        <v>7</v>
      </c>
      <c r="D27" s="44">
        <f>IF(Picks!G27="","",Picks!G27)</f>
        <v>1.85</v>
      </c>
      <c r="E27" s="79" t="str">
        <f>IF(Picks!H27="","",Picks!H27)</f>
        <v>x</v>
      </c>
      <c r="F27" s="127" t="str">
        <f>IF(Picks!I27="","",Picks!I27)</f>
        <v/>
      </c>
      <c r="G27" s="44" t="str">
        <f>IF(Picks!J27="","",Picks!J27)</f>
        <v/>
      </c>
    </row>
    <row r="28" spans="1:7" ht="13.5" thickBot="1">
      <c r="A28" s="128"/>
      <c r="B28" s="123" t="str">
        <f>IF(Picks!E28="","",Picks!E28)</f>
        <v>Spain</v>
      </c>
      <c r="C28" s="519">
        <f>IF(Picks!F28="","",Picks!F28)</f>
        <v>7</v>
      </c>
      <c r="D28" s="124">
        <f>IF(Picks!G28="","",Picks!G28)</f>
        <v>2.4</v>
      </c>
      <c r="E28" s="79" t="str">
        <f>IF(Picks!H28="","",Picks!H28)</f>
        <v>√</v>
      </c>
      <c r="F28" s="127" t="str">
        <f>IF(Picks!I28="","",Picks!I28)</f>
        <v/>
      </c>
      <c r="G28" s="44" t="str">
        <f>IF(Picks!J28="","",Picks!J28)</f>
        <v/>
      </c>
    </row>
    <row r="29" spans="1:7" ht="13.9" thickTop="1" thickBot="1">
      <c r="A29" s="110" t="str">
        <f>IF(Picks!A29="","",Picks!A29)</f>
        <v>Charlie Griffiths</v>
      </c>
      <c r="B29" s="105" t="str">
        <f>IF(Picks!E29="","",Picks!E29)</f>
        <v>Chesterfield</v>
      </c>
      <c r="C29" s="518">
        <f>IF(Picks!F29="","",Picks!F29)</f>
        <v>7</v>
      </c>
      <c r="D29" s="106">
        <f>IF(Picks!G29="","",Picks!G29)</f>
        <v>2.15</v>
      </c>
      <c r="E29" s="107" t="str">
        <f>IF(Picks!H29="","",Picks!H29)</f>
        <v>x</v>
      </c>
      <c r="F29" s="108">
        <f>IF(Picks!I29="","",Picks!I29)</f>
        <v>-7</v>
      </c>
      <c r="G29" s="109">
        <f>IF(Picks!J29="","",Picks!J29)</f>
        <v>30.587499999999999</v>
      </c>
    </row>
    <row r="30" spans="1:7" ht="13.15">
      <c r="A30" s="110"/>
      <c r="B30" s="59" t="str">
        <f>IF(Picks!E30="","",Picks!E30)</f>
        <v>Reading</v>
      </c>
      <c r="C30" s="518">
        <f>IF(Picks!F30="","",Picks!F30)</f>
        <v>7</v>
      </c>
      <c r="D30" s="44">
        <f>IF(Picks!G30="","",Picks!G30)</f>
        <v>2.5</v>
      </c>
      <c r="E30" s="79" t="str">
        <f>IF(Picks!H30="","",Picks!H30)</f>
        <v>x</v>
      </c>
      <c r="F30" s="127" t="str">
        <f>IF(Picks!I30="","",Picks!I30)</f>
        <v/>
      </c>
      <c r="G30" s="44" t="str">
        <f>IF(Picks!J30="","",Picks!J30)</f>
        <v/>
      </c>
    </row>
    <row r="31" spans="1:7" ht="13.5" thickBot="1">
      <c r="A31" s="128"/>
      <c r="B31" s="123" t="str">
        <f>IF(Picks!E31="","",Picks!E31)</f>
        <v>Tamworth</v>
      </c>
      <c r="C31" s="519">
        <f>IF(Picks!F31="","",Picks!F31)</f>
        <v>1</v>
      </c>
      <c r="D31" s="124">
        <f>IF(Picks!G31="","",Picks!G31)</f>
        <v>2.5</v>
      </c>
      <c r="E31" s="79" t="str">
        <f>IF(Picks!H31="","",Picks!H31)</f>
        <v>x</v>
      </c>
      <c r="F31" s="127" t="str">
        <f>IF(Picks!I31="","",Picks!I31)</f>
        <v/>
      </c>
      <c r="G31" s="44" t="str">
        <f>IF(Picks!J31="","",Picks!J31)</f>
        <v/>
      </c>
    </row>
    <row r="32" spans="1:7" ht="13.9" thickTop="1" thickBot="1">
      <c r="A32" s="110" t="str">
        <f>IF(Picks!A32="","",Picks!A32)</f>
        <v>Chris Bow</v>
      </c>
      <c r="B32" s="105" t="str">
        <f>IF(Picks!E32="","",Picks!E32)</f>
        <v>Faroe Islands</v>
      </c>
      <c r="C32" s="518">
        <f>IF(Picks!F32="","",Picks!F32)</f>
        <v>7</v>
      </c>
      <c r="D32" s="106">
        <f>IF(Picks!G32="","",Picks!G32)</f>
        <v>2.2999999999999998</v>
      </c>
      <c r="E32" s="107" t="str">
        <f>IF(Picks!H32="","",Picks!H32)</f>
        <v>x</v>
      </c>
      <c r="F32" s="108">
        <f>IF(Picks!I32="","",Picks!I32)</f>
        <v>-4.8499999999999996</v>
      </c>
      <c r="G32" s="109">
        <f>IF(Picks!J32="","",Picks!J32)</f>
        <v>29.421999999999997</v>
      </c>
    </row>
    <row r="33" spans="1:7" ht="13.15">
      <c r="A33" s="110"/>
      <c r="B33" s="59" t="str">
        <f>IF(Picks!E33="","",Picks!E33)</f>
        <v>Croatia</v>
      </c>
      <c r="C33" s="518">
        <f>IF(Picks!F33="","",Picks!F33)</f>
        <v>7</v>
      </c>
      <c r="D33" s="44">
        <f>IF(Picks!G33="","",Picks!G33)</f>
        <v>2.15</v>
      </c>
      <c r="E33" s="79" t="str">
        <f>IF(Picks!H33="","",Picks!H33)</f>
        <v>√</v>
      </c>
      <c r="F33" s="127" t="str">
        <f>IF(Picks!I33="","",Picks!I33)</f>
        <v/>
      </c>
      <c r="G33" s="44" t="str">
        <f>IF(Picks!J33="","",Picks!J33)</f>
        <v/>
      </c>
    </row>
    <row r="34" spans="1:7" ht="13.5" thickBot="1">
      <c r="A34" s="128"/>
      <c r="B34" s="123" t="str">
        <f>IF(Picks!E34="","",Picks!E34)</f>
        <v>Slovenia</v>
      </c>
      <c r="C34" s="519">
        <f>IF(Picks!F34="","",Picks!F34)</f>
        <v>7</v>
      </c>
      <c r="D34" s="124">
        <f>IF(Picks!G34="","",Picks!G34)</f>
        <v>2.6</v>
      </c>
      <c r="E34" s="79" t="str">
        <f>IF(Picks!H34="","",Picks!H34)</f>
        <v>x</v>
      </c>
      <c r="F34" s="127" t="str">
        <f>IF(Picks!I34="","",Picks!I34)</f>
        <v/>
      </c>
      <c r="G34" s="44" t="str">
        <f>IF(Picks!J34="","",Picks!J34)</f>
        <v/>
      </c>
    </row>
    <row r="35" spans="1:7" ht="13.9" thickTop="1" thickBot="1">
      <c r="A35" s="110" t="str">
        <f>IF(Picks!A35="","",Picks!A35)</f>
        <v>Chris Griffin</v>
      </c>
      <c r="B35" s="105" t="str">
        <f>IF(Picks!E35="","",Picks!E35)</f>
        <v>Italy draw</v>
      </c>
      <c r="C35" s="518">
        <f>IF(Picks!F35="","",Picks!F35)</f>
        <v>6</v>
      </c>
      <c r="D35" s="106">
        <f>IF(Picks!G35="","",Picks!G35)</f>
        <v>3.4</v>
      </c>
      <c r="E35" s="107" t="str">
        <f>IF(Picks!H35="","",Picks!H35)</f>
        <v>x</v>
      </c>
      <c r="F35" s="108">
        <f>IF(Picks!I35="","",Picks!I35)</f>
        <v>-7</v>
      </c>
      <c r="G35" s="109">
        <f>IF(Picks!J35="","",Picks!J35)</f>
        <v>58.74799999999999</v>
      </c>
    </row>
    <row r="36" spans="1:7" ht="13.15">
      <c r="A36" s="110"/>
      <c r="B36" s="59" t="str">
        <f>IF(Picks!E36="","",Picks!E36)</f>
        <v>Walsall</v>
      </c>
      <c r="C36" s="518">
        <f>IF(Picks!F36="","",Picks!F36)</f>
        <v>7</v>
      </c>
      <c r="D36" s="44">
        <f>IF(Picks!G36="","",Picks!G36)</f>
        <v>2.7</v>
      </c>
      <c r="E36" s="79" t="str">
        <f>IF(Picks!H36="","",Picks!H36)</f>
        <v>x</v>
      </c>
      <c r="F36" s="127" t="str">
        <f>IF(Picks!I36="","",Picks!I36)</f>
        <v/>
      </c>
      <c r="G36" s="44" t="str">
        <f>IF(Picks!J36="","",Picks!J36)</f>
        <v/>
      </c>
    </row>
    <row r="37" spans="1:7" ht="13.5" thickBot="1">
      <c r="A37" s="128"/>
      <c r="B37" s="123" t="str">
        <f>IF(Picks!E37="","",Picks!E37)</f>
        <v>England draw</v>
      </c>
      <c r="C37" s="519">
        <f>IF(Picks!F37="","",Picks!F37)</f>
        <v>7</v>
      </c>
      <c r="D37" s="124">
        <f>IF(Picks!G37="","",Picks!G37)</f>
        <v>3.1</v>
      </c>
      <c r="E37" s="79" t="str">
        <f>IF(Picks!H37="","",Picks!H37)</f>
        <v>x</v>
      </c>
      <c r="F37" s="127" t="str">
        <f>IF(Picks!I37="","",Picks!I37)</f>
        <v/>
      </c>
      <c r="G37" s="44" t="str">
        <f>IF(Picks!J37="","",Picks!J37)</f>
        <v/>
      </c>
    </row>
    <row r="38" spans="1:7" ht="13.9" thickTop="1" thickBot="1">
      <c r="A38" s="110" t="str">
        <f>IF(Picks!A38="","",Picks!A38)</f>
        <v>Chris Luck</v>
      </c>
      <c r="B38" s="105" t="str">
        <f>IF(Picks!E38="","",Picks!E38)</f>
        <v>Reading</v>
      </c>
      <c r="C38" s="518">
        <f>IF(Picks!F38="","",Picks!F38)</f>
        <v>7</v>
      </c>
      <c r="D38" s="106">
        <f>IF(Picks!G38="","",Picks!G38)</f>
        <v>2.5</v>
      </c>
      <c r="E38" s="107" t="str">
        <f>IF(Picks!H38="","",Picks!H38)</f>
        <v>x</v>
      </c>
      <c r="F38" s="108">
        <f>IF(Picks!I38="","",Picks!I38)</f>
        <v>-7</v>
      </c>
      <c r="G38" s="109">
        <f>IF(Picks!J38="","",Picks!J38)</f>
        <v>26.177500000000002</v>
      </c>
    </row>
    <row r="39" spans="1:7" ht="13.15">
      <c r="A39" s="110"/>
      <c r="B39" s="59" t="str">
        <f>IF(Picks!E39="","",Picks!E39)</f>
        <v>Chesterfield</v>
      </c>
      <c r="C39" s="518">
        <f>IF(Picks!F39="","",Picks!F39)</f>
        <v>7</v>
      </c>
      <c r="D39" s="44">
        <f>IF(Picks!G39="","",Picks!G39)</f>
        <v>2.15</v>
      </c>
      <c r="E39" s="79" t="str">
        <f>IF(Picks!H39="","",Picks!H39)</f>
        <v>x</v>
      </c>
      <c r="F39" s="127" t="str">
        <f>IF(Picks!I39="","",Picks!I39)</f>
        <v/>
      </c>
      <c r="G39" s="44" t="str">
        <f>IF(Picks!J39="","",Picks!J39)</f>
        <v/>
      </c>
    </row>
    <row r="40" spans="1:7" ht="13.5" thickBot="1">
      <c r="A40" s="128"/>
      <c r="B40" s="123" t="str">
        <f>IF(Picks!E40="","",Picks!E40)</f>
        <v>Rotherham</v>
      </c>
      <c r="C40" s="519">
        <f>IF(Picks!F40="","",Picks!F40)</f>
        <v>7</v>
      </c>
      <c r="D40" s="124">
        <f>IF(Picks!G40="","",Picks!G40)</f>
        <v>2.1</v>
      </c>
      <c r="E40" s="79" t="str">
        <f>IF(Picks!H40="","",Picks!H40)</f>
        <v>x</v>
      </c>
      <c r="F40" s="127" t="str">
        <f>IF(Picks!I40="","",Picks!I40)</f>
        <v/>
      </c>
      <c r="G40" s="44" t="str">
        <f>IF(Picks!J40="","",Picks!J40)</f>
        <v/>
      </c>
    </row>
    <row r="41" spans="1:7" ht="13.9" thickTop="1" thickBot="1">
      <c r="A41" s="110" t="str">
        <f>IF(Picks!A41="","",Picks!A41)</f>
        <v>Dan Gibbard</v>
      </c>
      <c r="B41" s="105" t="str">
        <f>IF(Picks!E41="","",Picks!E41)</f>
        <v>Southend</v>
      </c>
      <c r="C41" s="518">
        <f>IF(Picks!F41="","",Picks!F41)</f>
        <v>1</v>
      </c>
      <c r="D41" s="106">
        <f>IF(Picks!G41="","",Picks!G41)</f>
        <v>1.75</v>
      </c>
      <c r="E41" s="107" t="str">
        <f>IF(Picks!H41="","",Picks!H41)</f>
        <v>x</v>
      </c>
      <c r="F41" s="108">
        <f>IF(Picks!I41="","",Picks!I41)</f>
        <v>-1.4615384615384617</v>
      </c>
      <c r="G41" s="109">
        <f>IF(Picks!J41="","",Picks!J41)</f>
        <v>9.9807692307692299</v>
      </c>
    </row>
    <row r="42" spans="1:7" ht="13.15">
      <c r="A42" s="110"/>
      <c r="B42" s="59" t="str">
        <f>IF(Picks!E42="","",Picks!E42)</f>
        <v>Netherlands</v>
      </c>
      <c r="C42" s="518">
        <f>IF(Picks!F42="","",Picks!F42)</f>
        <v>1</v>
      </c>
      <c r="D42" s="44">
        <f>IF(Picks!G42="","",Picks!G42)</f>
        <v>1.6153846153846154</v>
      </c>
      <c r="E42" s="79" t="str">
        <f>IF(Picks!H42="","",Picks!H42)</f>
        <v>√</v>
      </c>
      <c r="F42" s="127" t="str">
        <f>IF(Picks!I42="","",Picks!I42)</f>
        <v/>
      </c>
      <c r="G42" s="44" t="str">
        <f>IF(Picks!J42="","",Picks!J42)</f>
        <v/>
      </c>
    </row>
    <row r="43" spans="1:7" ht="13.5" thickBot="1">
      <c r="A43" s="128"/>
      <c r="B43" s="123" t="str">
        <f>IF(Picks!E43="","",Picks!E43)</f>
        <v>Austria</v>
      </c>
      <c r="C43" s="519">
        <f>IF(Picks!F43="","",Picks!F43)</f>
        <v>1</v>
      </c>
      <c r="D43" s="124">
        <f>IF(Picks!G43="","",Picks!G43)</f>
        <v>1.5</v>
      </c>
      <c r="E43" s="79" t="str">
        <f>IF(Picks!H43="","",Picks!H43)</f>
        <v>√</v>
      </c>
      <c r="F43" s="127" t="str">
        <f>IF(Picks!I43="","",Picks!I43)</f>
        <v/>
      </c>
      <c r="G43" s="44" t="str">
        <f>IF(Picks!J43="","",Picks!J43)</f>
        <v/>
      </c>
    </row>
    <row r="44" spans="1:7" ht="13.9" thickTop="1" thickBot="1">
      <c r="A44" s="110" t="str">
        <f>IF(Picks!A44="","",Picks!A44)</f>
        <v>Dave Bell</v>
      </c>
      <c r="B44" s="105" t="str">
        <f>IF(Picks!E44="","",Picks!E44)</f>
        <v>Belgium</v>
      </c>
      <c r="C44" s="518">
        <f>IF(Picks!F44="","",Picks!F44)</f>
        <v>6</v>
      </c>
      <c r="D44" s="106">
        <f>IF(Picks!G44="","",Picks!G44)</f>
        <v>3.1</v>
      </c>
      <c r="E44" s="107" t="str">
        <f>IF(Picks!H44="","",Picks!H44)</f>
        <v>√</v>
      </c>
      <c r="F44" s="108">
        <f>IF(Picks!I44="","",Picks!I44)</f>
        <v>6.35</v>
      </c>
      <c r="G44" s="109">
        <f>IF(Picks!J44="","",Picks!J44)</f>
        <v>78.099999999999994</v>
      </c>
    </row>
    <row r="45" spans="1:7" ht="13.15">
      <c r="A45" s="110"/>
      <c r="B45" s="59" t="str">
        <f>IF(Picks!E45="","",Picks!E45)</f>
        <v>Portugal</v>
      </c>
      <c r="C45" s="518">
        <f>IF(Picks!F45="","",Picks!F45)</f>
        <v>1</v>
      </c>
      <c r="D45" s="44">
        <f>IF(Picks!G45="","",Picks!G45)</f>
        <v>2.5</v>
      </c>
      <c r="E45" s="79" t="str">
        <f>IF(Picks!H45="","",Picks!H45)</f>
        <v>√</v>
      </c>
      <c r="F45" s="127" t="str">
        <f>IF(Picks!I45="","",Picks!I45)</f>
        <v/>
      </c>
      <c r="G45" s="44" t="str">
        <f>IF(Picks!J45="","",Picks!J45)</f>
        <v/>
      </c>
    </row>
    <row r="46" spans="1:7" ht="13.5" thickBot="1">
      <c r="A46" s="128"/>
      <c r="B46" s="123" t="str">
        <f>IF(Picks!E46="","",Picks!E46)</f>
        <v>Serbia</v>
      </c>
      <c r="C46" s="519">
        <f>IF(Picks!F46="","",Picks!F46)</f>
        <v>1</v>
      </c>
      <c r="D46" s="124">
        <f>IF(Picks!G46="","",Picks!G46)</f>
        <v>5</v>
      </c>
      <c r="E46" s="79" t="str">
        <f>IF(Picks!H46="","",Picks!H46)</f>
        <v>x</v>
      </c>
      <c r="F46" s="127" t="str">
        <f>IF(Picks!I46="","",Picks!I46)</f>
        <v/>
      </c>
      <c r="G46" s="44" t="str">
        <f>IF(Picks!J46="","",Picks!J46)</f>
        <v/>
      </c>
    </row>
    <row r="47" spans="1:7" ht="13.9" thickTop="1" thickBot="1">
      <c r="A47" s="110" t="str">
        <f>IF(Picks!A47="","",Picks!A47)</f>
        <v>David Dunn</v>
      </c>
      <c r="B47" s="105" t="str">
        <f>IF(Picks!E47="","",Picks!E47)</f>
        <v>Croatia</v>
      </c>
      <c r="C47" s="518">
        <f>IF(Picks!F47="","",Picks!F47)</f>
        <v>7</v>
      </c>
      <c r="D47" s="106">
        <f>IF(Picks!G47="","",Picks!G47)</f>
        <v>2.15</v>
      </c>
      <c r="E47" s="107" t="str">
        <f>IF(Picks!H47="","",Picks!H47)</f>
        <v>√</v>
      </c>
      <c r="F47" s="108">
        <f>IF(Picks!I47="","",Picks!I47)</f>
        <v>-0.55454545454545467</v>
      </c>
      <c r="G47" s="109">
        <f>IF(Picks!J47="","",Picks!J47)</f>
        <v>20.292727272727269</v>
      </c>
    </row>
    <row r="48" spans="1:7" ht="13.15">
      <c r="A48" s="129"/>
      <c r="B48" s="59" t="str">
        <f>IF(Picks!E48="","",Picks!E48)</f>
        <v>England</v>
      </c>
      <c r="C48" s="518">
        <f>IF(Picks!F48="","",Picks!F48)</f>
        <v>7</v>
      </c>
      <c r="D48" s="44">
        <f>IF(Picks!G48="","",Picks!G48)</f>
        <v>2.8</v>
      </c>
      <c r="E48" s="79" t="str">
        <f>IF(Picks!H48="","",Picks!H48)</f>
        <v>x</v>
      </c>
      <c r="F48" s="127" t="str">
        <f>IF(Picks!I48="","",Picks!I48)</f>
        <v/>
      </c>
      <c r="G48" s="44" t="str">
        <f>IF(Picks!J48="","",Picks!J48)</f>
        <v/>
      </c>
    </row>
    <row r="49" spans="1:7" ht="13.5" thickBot="1">
      <c r="A49" s="128"/>
      <c r="B49" s="123" t="str">
        <f>IF(Picks!E49="","",Picks!E49)</f>
        <v>Switzerland</v>
      </c>
      <c r="C49" s="519">
        <f>IF(Picks!F49="","",Picks!F49)</f>
        <v>7</v>
      </c>
      <c r="D49" s="124">
        <f>IF(Picks!G49="","",Picks!G49)</f>
        <v>1.3636363636363638</v>
      </c>
      <c r="E49" s="79" t="str">
        <f>IF(Picks!H49="","",Picks!H49)</f>
        <v>√</v>
      </c>
      <c r="F49" s="127" t="str">
        <f>IF(Picks!I49="","",Picks!I49)</f>
        <v/>
      </c>
      <c r="G49" s="44" t="str">
        <f>IF(Picks!J49="","",Picks!J49)</f>
        <v/>
      </c>
    </row>
    <row r="50" spans="1:7" ht="13.9" thickTop="1" thickBot="1">
      <c r="A50" s="110" t="str">
        <f>IF(Picks!A50="","",Picks!A50)</f>
        <v>Dot Bow</v>
      </c>
      <c r="B50" s="105" t="str">
        <f>IF(Picks!E50="","",Picks!E50)</f>
        <v>Exeter</v>
      </c>
      <c r="C50" s="518">
        <f>IF(Picks!F50="","",Picks!F50)</f>
        <v>7</v>
      </c>
      <c r="D50" s="106">
        <f>IF(Picks!G50="","",Picks!G50)</f>
        <v>4</v>
      </c>
      <c r="E50" s="107" t="str">
        <f>IF(Picks!H50="","",Picks!H50)</f>
        <v>x</v>
      </c>
      <c r="F50" s="108">
        <f>IF(Picks!I50="","",Picks!I50)</f>
        <v>-5.15</v>
      </c>
      <c r="G50" s="109">
        <f>IF(Picks!J50="","",Picks!J50)</f>
        <v>44.725000000000009</v>
      </c>
    </row>
    <row r="51" spans="1:7" ht="13.15">
      <c r="A51" s="110"/>
      <c r="B51" s="59" t="str">
        <f>IF(Picks!E51="","",Picks!E51)</f>
        <v>Salford</v>
      </c>
      <c r="C51" s="518">
        <f>IF(Picks!F51="","",Picks!F51)</f>
        <v>7</v>
      </c>
      <c r="D51" s="44">
        <f>IF(Picks!G51="","",Picks!G51)</f>
        <v>1.85</v>
      </c>
      <c r="E51" s="79" t="str">
        <f>IF(Picks!H51="","",Picks!H51)</f>
        <v>√</v>
      </c>
      <c r="F51" s="127" t="str">
        <f>IF(Picks!I51="","",Picks!I51)</f>
        <v/>
      </c>
      <c r="G51" s="44" t="str">
        <f>IF(Picks!J51="","",Picks!J51)</f>
        <v/>
      </c>
    </row>
    <row r="52" spans="1:7" ht="13.5" thickBot="1">
      <c r="A52" s="128"/>
      <c r="B52" s="123" t="str">
        <f>IF(Picks!E52="","",Picks!E52)</f>
        <v>Scotland</v>
      </c>
      <c r="C52" s="519">
        <f>IF(Picks!F52="","",Picks!F52)</f>
        <v>7</v>
      </c>
      <c r="D52" s="124">
        <f>IF(Picks!G52="","",Picks!G52)</f>
        <v>2.7</v>
      </c>
      <c r="E52" s="79" t="str">
        <f>IF(Picks!H52="","",Picks!H52)</f>
        <v>x</v>
      </c>
      <c r="F52" s="127" t="str">
        <f>IF(Picks!I52="","",Picks!I52)</f>
        <v/>
      </c>
      <c r="G52" s="44" t="str">
        <f>IF(Picks!J52="","",Picks!J52)</f>
        <v/>
      </c>
    </row>
    <row r="53" spans="1:7" ht="13.9" thickTop="1" thickBot="1">
      <c r="A53" s="110" t="str">
        <f>IF(Picks!A53="","",Picks!A53)</f>
        <v>Frank Allen</v>
      </c>
      <c r="B53" s="105" t="str">
        <f>IF(Picks!E53="","",Picks!E53)</f>
        <v>Italy draw</v>
      </c>
      <c r="C53" s="518">
        <f>IF(Picks!F53="","",Picks!F53)</f>
        <v>6</v>
      </c>
      <c r="D53" s="106">
        <f>IF(Picks!G53="","",Picks!G53)</f>
        <v>3.4</v>
      </c>
      <c r="E53" s="107" t="str">
        <f>IF(Picks!H53="","",Picks!H53)</f>
        <v>x</v>
      </c>
      <c r="F53" s="108">
        <f>IF(Picks!I53="","",Picks!I53)</f>
        <v>0.59090909090909083</v>
      </c>
      <c r="G53" s="109">
        <f>IF(Picks!J53="","",Picks!J53)</f>
        <v>29.799999999999997</v>
      </c>
    </row>
    <row r="54" spans="1:7" ht="13.15">
      <c r="A54" s="110"/>
      <c r="B54" s="59" t="str">
        <f>IF(Picks!E54="","",Picks!E54)</f>
        <v>Bristol R</v>
      </c>
      <c r="C54" s="518">
        <f>IF(Picks!F54="","",Picks!F54)</f>
        <v>7</v>
      </c>
      <c r="D54" s="44">
        <f>IF(Picks!G54="","",Picks!G54)</f>
        <v>1.7272727272727273</v>
      </c>
      <c r="E54" s="79" t="str">
        <f>IF(Picks!H54="","",Picks!H54)</f>
        <v>√</v>
      </c>
      <c r="F54" s="127" t="str">
        <f>IF(Picks!I54="","",Picks!I54)</f>
        <v/>
      </c>
      <c r="G54" s="44" t="str">
        <f>IF(Picks!J54="","",Picks!J54)</f>
        <v/>
      </c>
    </row>
    <row r="55" spans="1:7" ht="13.5" thickBot="1">
      <c r="A55" s="128"/>
      <c r="B55" s="123" t="str">
        <f>IF(Picks!E55="","",Picks!E55)</f>
        <v>Croatia</v>
      </c>
      <c r="C55" s="519">
        <f>IF(Picks!F55="","",Picks!F55)</f>
        <v>7</v>
      </c>
      <c r="D55" s="124">
        <f>IF(Picks!G55="","",Picks!G55)</f>
        <v>2.15</v>
      </c>
      <c r="E55" s="79" t="str">
        <f>IF(Picks!H55="","",Picks!H55)</f>
        <v>√</v>
      </c>
      <c r="F55" s="127" t="str">
        <f>IF(Picks!I55="","",Picks!I55)</f>
        <v/>
      </c>
      <c r="G55" s="44" t="str">
        <f>IF(Picks!J55="","",Picks!J55)</f>
        <v/>
      </c>
    </row>
    <row r="56" spans="1:7" ht="13.9" thickTop="1" thickBot="1">
      <c r="A56" s="110" t="str">
        <f>IF(Picks!A56="","",Picks!A56)</f>
        <v>Gareth Powell</v>
      </c>
      <c r="B56" s="105" t="str">
        <f>IF(Picks!E56="","",Picks!E56)</f>
        <v>Wales</v>
      </c>
      <c r="C56" s="518">
        <f>IF(Picks!F56="","",Picks!F56)</f>
        <v>1</v>
      </c>
      <c r="D56" s="106">
        <f>IF(Picks!G56="","",Picks!G56)</f>
        <v>5</v>
      </c>
      <c r="E56" s="107" t="str">
        <f>IF(Picks!H56="","",Picks!H56)</f>
        <v>x</v>
      </c>
      <c r="F56" s="108">
        <f>IF(Picks!I56="","",Picks!I56)</f>
        <v>-7</v>
      </c>
      <c r="G56" s="109">
        <f>IF(Picks!J56="","",Picks!J56)</f>
        <v>65.5</v>
      </c>
    </row>
    <row r="57" spans="1:7" ht="13.15">
      <c r="A57" s="110"/>
      <c r="B57" s="59" t="str">
        <f>IF(Picks!E57="","",Picks!E57)</f>
        <v>Reading</v>
      </c>
      <c r="C57" s="518">
        <f>IF(Picks!F57="","",Picks!F57)</f>
        <v>7</v>
      </c>
      <c r="D57" s="44">
        <f>IF(Picks!G57="","",Picks!G57)</f>
        <v>2.5</v>
      </c>
      <c r="E57" s="79" t="str">
        <f>IF(Picks!H57="","",Picks!H57)</f>
        <v>x</v>
      </c>
      <c r="F57" s="127" t="str">
        <f>IF(Picks!I57="","",Picks!I57)</f>
        <v/>
      </c>
      <c r="G57" s="44" t="str">
        <f>IF(Picks!J57="","",Picks!J57)</f>
        <v/>
      </c>
    </row>
    <row r="58" spans="1:7" ht="13.5" thickBot="1">
      <c r="A58" s="128"/>
      <c r="B58" s="123" t="str">
        <f>IF(Picks!E58="","",Picks!E58)</f>
        <v>Israel</v>
      </c>
      <c r="C58" s="519">
        <f>IF(Picks!F58="","",Picks!F58)</f>
        <v>1</v>
      </c>
      <c r="D58" s="124">
        <f>IF(Picks!G58="","",Picks!G58)</f>
        <v>2.5</v>
      </c>
      <c r="E58" s="79" t="str">
        <f>IF(Picks!H58="","",Picks!H58)</f>
        <v>x</v>
      </c>
      <c r="F58" s="127" t="str">
        <f>IF(Picks!I58="","",Picks!I58)</f>
        <v/>
      </c>
      <c r="G58" s="44" t="str">
        <f>IF(Picks!J58="","",Picks!J58)</f>
        <v/>
      </c>
    </row>
    <row r="59" spans="1:7" ht="13.9" thickTop="1" thickBot="1">
      <c r="A59" s="110" t="str">
        <f>IF(Picks!A59="","",Picks!A59)</f>
        <v>Gerard Ventom</v>
      </c>
      <c r="B59" s="105" t="str">
        <f>IF(Picks!E59="","",Picks!E59)</f>
        <v>Rotherham draw</v>
      </c>
      <c r="C59" s="518">
        <f>IF(Picks!F59="","",Picks!F59)</f>
        <v>7</v>
      </c>
      <c r="D59" s="106">
        <f>IF(Picks!G59="","",Picks!G59)</f>
        <v>3.4</v>
      </c>
      <c r="E59" s="107" t="str">
        <f>IF(Picks!H59="","",Picks!H59)</f>
        <v>√</v>
      </c>
      <c r="F59" s="108">
        <f>IF(Picks!I59="","",Picks!I59)</f>
        <v>9.6000000000000014</v>
      </c>
      <c r="G59" s="109">
        <f>IF(Picks!J59="","",Picks!J59)</f>
        <v>53.6</v>
      </c>
    </row>
    <row r="60" spans="1:7" ht="13.15">
      <c r="A60" s="110"/>
      <c r="B60" s="59" t="str">
        <f>IF(Picks!E60="","",Picks!E60)</f>
        <v>Shrewsbury draw</v>
      </c>
      <c r="C60" s="518">
        <f>IF(Picks!F60="","",Picks!F60)</f>
        <v>7</v>
      </c>
      <c r="D60" s="44">
        <f>IF(Picks!G60="","",Picks!G60)</f>
        <v>3</v>
      </c>
      <c r="E60" s="79" t="str">
        <f>IF(Picks!H60="","",Picks!H60)</f>
        <v>√</v>
      </c>
      <c r="F60" s="127" t="str">
        <f>IF(Picks!I60="","",Picks!I60)</f>
        <v/>
      </c>
      <c r="G60" s="44" t="str">
        <f>IF(Picks!J60="","",Picks!J60)</f>
        <v/>
      </c>
    </row>
    <row r="61" spans="1:7" ht="13.5" thickBot="1">
      <c r="A61" s="128"/>
      <c r="B61" s="123" t="str">
        <f>IF(Picks!E61="","",Picks!E61)</f>
        <v>Tranmere</v>
      </c>
      <c r="C61" s="519">
        <f>IF(Picks!F61="","",Picks!F61)</f>
        <v>7</v>
      </c>
      <c r="D61" s="124">
        <f>IF(Picks!G61="","",Picks!G61)</f>
        <v>2.5</v>
      </c>
      <c r="E61" s="79" t="str">
        <f>IF(Picks!H61="","",Picks!H61)</f>
        <v>x</v>
      </c>
      <c r="F61" s="127" t="str">
        <f>IF(Picks!I61="","",Picks!I61)</f>
        <v/>
      </c>
      <c r="G61" s="44" t="str">
        <f>IF(Picks!J61="","",Picks!J61)</f>
        <v/>
      </c>
    </row>
    <row r="62" spans="1:7" ht="13.9" thickTop="1" thickBot="1">
      <c r="A62" s="110" t="str">
        <f>IF(Picks!A62="","",Picks!A62)</f>
        <v>Graham Miller</v>
      </c>
      <c r="B62" s="105" t="str">
        <f>IF(Picks!E62="","",Picks!E62)</f>
        <v>Italy</v>
      </c>
      <c r="C62" s="518">
        <f>IF(Picks!F62="","",Picks!F62)</f>
        <v>6</v>
      </c>
      <c r="D62" s="106">
        <f>IF(Picks!G62="","",Picks!G62)</f>
        <v>2.1</v>
      </c>
      <c r="E62" s="107" t="str">
        <f>IF(Picks!H62="","",Picks!H62)</f>
        <v>x</v>
      </c>
      <c r="F62" s="108">
        <f>IF(Picks!I62="","",Picks!I62)</f>
        <v>-5.5</v>
      </c>
      <c r="G62" s="109">
        <f>IF(Picks!J62="","",Picks!J62)</f>
        <v>16.800000000000004</v>
      </c>
    </row>
    <row r="63" spans="1:7" ht="13.15">
      <c r="A63" s="110"/>
      <c r="B63" s="59" t="str">
        <f>IF(Picks!E63="","",Picks!E63)</f>
        <v>Albania</v>
      </c>
      <c r="C63" s="518">
        <f>IF(Picks!F63="","",Picks!F63)</f>
        <v>7</v>
      </c>
      <c r="D63" s="44">
        <f>IF(Picks!G63="","",Picks!G63)</f>
        <v>1.5</v>
      </c>
      <c r="E63" s="79" t="str">
        <f>IF(Picks!H63="","",Picks!H63)</f>
        <v>√</v>
      </c>
      <c r="F63" s="127" t="str">
        <f>IF(Picks!I63="","",Picks!I63)</f>
        <v/>
      </c>
      <c r="G63" s="44" t="str">
        <f>IF(Picks!J63="","",Picks!J63)</f>
        <v/>
      </c>
    </row>
    <row r="64" spans="1:7" ht="13.5" thickBot="1">
      <c r="A64" s="128"/>
      <c r="B64" s="123" t="str">
        <f>IF(Picks!E64="","",Picks!E64)</f>
        <v>Bulgaria</v>
      </c>
      <c r="C64" s="519">
        <f>IF(Picks!F64="","",Picks!F64)</f>
        <v>7</v>
      </c>
      <c r="D64" s="124">
        <f>IF(Picks!G64="","",Picks!G64)</f>
        <v>2.2000000000000002</v>
      </c>
      <c r="E64" s="79" t="str">
        <f>IF(Picks!H64="","",Picks!H64)</f>
        <v>x</v>
      </c>
      <c r="F64" s="127" t="str">
        <f>IF(Picks!I64="","",Picks!I64)</f>
        <v/>
      </c>
      <c r="G64" s="44" t="str">
        <f>IF(Picks!J64="","",Picks!J64)</f>
        <v/>
      </c>
    </row>
    <row r="65" spans="1:7" ht="13.9" thickTop="1" thickBot="1">
      <c r="A65" s="110" t="str">
        <f>IF(Picks!A65="","",Picks!A65)</f>
        <v>Howard Bradley</v>
      </c>
      <c r="B65" s="105" t="str">
        <f>IF(Picks!E65="","",Picks!E65)</f>
        <v>Slovakia</v>
      </c>
      <c r="C65" s="518">
        <f>IF(Picks!F65="","",Picks!F65)</f>
        <v>7</v>
      </c>
      <c r="D65" s="106">
        <f>IF(Picks!G65="","",Picks!G65)</f>
        <v>1.25</v>
      </c>
      <c r="E65" s="107" t="str">
        <f>IF(Picks!H65="","",Picks!H65)</f>
        <v>√</v>
      </c>
      <c r="F65" s="108">
        <f>IF(Picks!I65="","",Picks!I65)</f>
        <v>-2.375</v>
      </c>
      <c r="G65" s="109">
        <f>IF(Picks!J65="","",Picks!J65)</f>
        <v>5.2954545454545467</v>
      </c>
    </row>
    <row r="66" spans="1:7" ht="13.15">
      <c r="A66" s="110"/>
      <c r="B66" s="59" t="str">
        <f>IF(Picks!E66="","",Picks!E66)</f>
        <v>Austria</v>
      </c>
      <c r="C66" s="518">
        <f>IF(Picks!F66="","",Picks!F66)</f>
        <v>1</v>
      </c>
      <c r="D66" s="44">
        <f>IF(Picks!G66="","",Picks!G66)</f>
        <v>1.5</v>
      </c>
      <c r="E66" s="79" t="str">
        <f>IF(Picks!H66="","",Picks!H66)</f>
        <v>√</v>
      </c>
      <c r="F66" s="127" t="str">
        <f>IF(Picks!I66="","",Picks!I66)</f>
        <v/>
      </c>
      <c r="G66" s="44" t="str">
        <f>IF(Picks!J66="","",Picks!J66)</f>
        <v/>
      </c>
    </row>
    <row r="67" spans="1:7" ht="13.5" thickBot="1">
      <c r="A67" s="128"/>
      <c r="B67" s="123" t="str">
        <f>IF(Picks!E67="","",Picks!E67)</f>
        <v>Germany</v>
      </c>
      <c r="C67" s="519">
        <f>IF(Picks!F67="","",Picks!F67)</f>
        <v>1</v>
      </c>
      <c r="D67" s="124">
        <f>IF(Picks!G67="","",Picks!G67)</f>
        <v>1.3636363636363638</v>
      </c>
      <c r="E67" s="79" t="str">
        <f>IF(Picks!H67="","",Picks!H67)</f>
        <v>x</v>
      </c>
      <c r="F67" s="127" t="str">
        <f>IF(Picks!I67="","",Picks!I67)</f>
        <v/>
      </c>
      <c r="G67" s="44" t="str">
        <f>IF(Picks!J67="","",Picks!J67)</f>
        <v/>
      </c>
    </row>
    <row r="68" spans="1:7" ht="13.9" thickTop="1" thickBot="1">
      <c r="A68" s="110" t="str">
        <f>IF(Picks!A68="","",Picks!A68)</f>
        <v>Jack Walsh</v>
      </c>
      <c r="B68" s="105" t="str">
        <f>IF(Picks!E68="","",Picks!E68)</f>
        <v>Altrincham</v>
      </c>
      <c r="C68" s="518">
        <f>IF(Picks!F68="","",Picks!F68)</f>
        <v>1</v>
      </c>
      <c r="D68" s="106">
        <f>IF(Picks!G68="","",Picks!G68)</f>
        <v>2.2000000000000002</v>
      </c>
      <c r="E68" s="107" t="str">
        <f>IF(Picks!H68="","",Picks!H68)</f>
        <v>√</v>
      </c>
      <c r="F68" s="108">
        <f>IF(Picks!I68="","",Picks!I68)</f>
        <v>-4.8</v>
      </c>
      <c r="G68" s="109">
        <f>IF(Picks!J68="","",Picks!J68)</f>
        <v>22.338461538461541</v>
      </c>
    </row>
    <row r="69" spans="1:7" ht="13.15">
      <c r="A69" s="110"/>
      <c r="B69" s="59" t="str">
        <f>IF(Picks!E69="","",Picks!E69)</f>
        <v>Plymouth</v>
      </c>
      <c r="C69" s="518">
        <f>IF(Picks!F69="","",Picks!F69)</f>
        <v>7</v>
      </c>
      <c r="D69" s="44">
        <f>IF(Picks!G69="","",Picks!G69)</f>
        <v>1.6153846153846154</v>
      </c>
      <c r="E69" s="79" t="str">
        <f>IF(Picks!H69="","",Picks!H69)</f>
        <v>x</v>
      </c>
      <c r="F69" s="127" t="str">
        <f>IF(Picks!I69="","",Picks!I69)</f>
        <v/>
      </c>
      <c r="G69" s="44" t="str">
        <f>IF(Picks!J69="","",Picks!J69)</f>
        <v/>
      </c>
    </row>
    <row r="70" spans="1:7" ht="13.5" thickBot="1">
      <c r="A70" s="128"/>
      <c r="B70" s="123" t="str">
        <f>IF(Picks!E70="","",Picks!E70)</f>
        <v>Norway</v>
      </c>
      <c r="C70" s="519">
        <f>IF(Picks!F70="","",Picks!F70)</f>
        <v>1</v>
      </c>
      <c r="D70" s="124">
        <f>IF(Picks!G70="","",Picks!G70)</f>
        <v>2.625</v>
      </c>
      <c r="E70" s="79" t="str">
        <f>IF(Picks!H70="","",Picks!H70)</f>
        <v>x</v>
      </c>
      <c r="F70" s="127" t="str">
        <f>IF(Picks!I70="","",Picks!I70)</f>
        <v/>
      </c>
      <c r="G70" s="44" t="str">
        <f>IF(Picks!J70="","",Picks!J70)</f>
        <v/>
      </c>
    </row>
    <row r="71" spans="1:7" ht="13.9" thickTop="1" thickBot="1">
      <c r="A71" s="110" t="str">
        <f>IF(Picks!A71="","",Picks!A71)</f>
        <v>Julie Dodd</v>
      </c>
      <c r="B71" s="105" t="str">
        <f>IF(Picks!E71="","",Picks!E71)</f>
        <v>Fleetwood</v>
      </c>
      <c r="C71" s="518">
        <f>IF(Picks!F71="","",Picks!F71)</f>
        <v>7</v>
      </c>
      <c r="D71" s="106">
        <f>IF(Picks!G71="","",Picks!G71)</f>
        <v>1.85</v>
      </c>
      <c r="E71" s="107" t="str">
        <f>IF(Picks!H71="","",Picks!H71)</f>
        <v>x</v>
      </c>
      <c r="F71" s="108">
        <f>IF(Picks!I71="","",Picks!I71)</f>
        <v>-5.6363636363636367</v>
      </c>
      <c r="G71" s="109">
        <f>IF(Picks!J71="","",Picks!J71)</f>
        <v>12.545909090909092</v>
      </c>
    </row>
    <row r="72" spans="1:7" ht="13.15">
      <c r="A72" s="110"/>
      <c r="B72" s="59" t="str">
        <f>IF(Picks!E72="","",Picks!E72)</f>
        <v>Swindon</v>
      </c>
      <c r="C72" s="518">
        <f>IF(Picks!F72="","",Picks!F72)</f>
        <v>7</v>
      </c>
      <c r="D72" s="44">
        <f>IF(Picks!G72="","",Picks!G72)</f>
        <v>2.0499999999999998</v>
      </c>
      <c r="E72" s="79" t="str">
        <f>IF(Picks!H72="","",Picks!H72)</f>
        <v>x</v>
      </c>
      <c r="F72" s="127" t="str">
        <f>IF(Picks!I72="","",Picks!I72)</f>
        <v/>
      </c>
      <c r="G72" s="44" t="str">
        <f>IF(Picks!J72="","",Picks!J72)</f>
        <v/>
      </c>
    </row>
    <row r="73" spans="1:7" ht="13.5" thickBot="1">
      <c r="A73" s="128"/>
      <c r="B73" s="123" t="str">
        <f>IF(Picks!E73="","",Picks!E73)</f>
        <v>Stockport</v>
      </c>
      <c r="C73" s="519">
        <f>IF(Picks!F73="","",Picks!F73)</f>
        <v>7</v>
      </c>
      <c r="D73" s="124">
        <f>IF(Picks!G73="","",Picks!G73)</f>
        <v>1.3636363636363638</v>
      </c>
      <c r="E73" s="79" t="str">
        <f>IF(Picks!H73="","",Picks!H73)</f>
        <v>√</v>
      </c>
      <c r="F73" s="127" t="str">
        <f>IF(Picks!I73="","",Picks!I73)</f>
        <v/>
      </c>
      <c r="G73" s="44" t="str">
        <f>IF(Picks!J73="","",Picks!J73)</f>
        <v/>
      </c>
    </row>
    <row r="74" spans="1:7" ht="13.9" thickTop="1" thickBot="1">
      <c r="A74" s="110" t="str">
        <f>IF(Picks!A74="","",Picks!A74)</f>
        <v>Katy Savory</v>
      </c>
      <c r="B74" s="105" t="str">
        <f>IF(Picks!E74="","",Picks!E74)</f>
        <v>Scotland</v>
      </c>
      <c r="C74" s="518">
        <f>IF(Picks!F74="","",Picks!F74)</f>
        <v>7</v>
      </c>
      <c r="D74" s="106">
        <f>IF(Picks!G74="","",Picks!G74)</f>
        <v>2.7</v>
      </c>
      <c r="E74" s="107" t="str">
        <f>IF(Picks!H74="","",Picks!H74)</f>
        <v>x</v>
      </c>
      <c r="F74" s="108">
        <f>IF(Picks!I74="","",Picks!I74)</f>
        <v>-7</v>
      </c>
      <c r="G74" s="109">
        <f>IF(Picks!J74="","",Picks!J74)</f>
        <v>33.440000000000005</v>
      </c>
    </row>
    <row r="75" spans="1:7" ht="13.15">
      <c r="A75" s="110"/>
      <c r="B75" s="59" t="str">
        <f>IF(Picks!E75="","",Picks!E75)</f>
        <v>Bulgaria</v>
      </c>
      <c r="C75" s="518">
        <f>IF(Picks!F75="","",Picks!F75)</f>
        <v>7</v>
      </c>
      <c r="D75" s="44">
        <f>IF(Picks!G75="","",Picks!G75)</f>
        <v>2.2000000000000002</v>
      </c>
      <c r="E75" s="79" t="str">
        <f>IF(Picks!H75="","",Picks!H75)</f>
        <v>x</v>
      </c>
      <c r="F75" s="127" t="str">
        <f>IF(Picks!I75="","",Picks!I75)</f>
        <v/>
      </c>
      <c r="G75" s="44" t="str">
        <f>IF(Picks!J75="","",Picks!J75)</f>
        <v/>
      </c>
    </row>
    <row r="76" spans="1:7" ht="13.5" thickBot="1">
      <c r="A76" s="128"/>
      <c r="B76" s="123" t="str">
        <f>IF(Picks!E76="","",Picks!E76)</f>
        <v>Shrewsbury</v>
      </c>
      <c r="C76" s="519">
        <f>IF(Picks!F76="","",Picks!F76)</f>
        <v>7</v>
      </c>
      <c r="D76" s="124">
        <f>IF(Picks!G76="","",Picks!G76)</f>
        <v>2.5</v>
      </c>
      <c r="E76" s="79" t="str">
        <f>IF(Picks!H76="","",Picks!H76)</f>
        <v>x</v>
      </c>
      <c r="F76" s="127" t="str">
        <f>IF(Picks!I76="","",Picks!I76)</f>
        <v/>
      </c>
      <c r="G76" s="44" t="str">
        <f>IF(Picks!J76="","",Picks!J76)</f>
        <v/>
      </c>
    </row>
    <row r="77" spans="1:7" ht="13.9" thickTop="1" thickBot="1">
      <c r="A77" s="110" t="str">
        <f>IF(Picks!A77="","",Picks!A77)</f>
        <v>Kevin Carter</v>
      </c>
      <c r="B77" s="105" t="str">
        <f>IF(Picks!E77="","",Picks!E77)</f>
        <v>Plymouth</v>
      </c>
      <c r="C77" s="518">
        <f>IF(Picks!F77="","",Picks!F77)</f>
        <v>7</v>
      </c>
      <c r="D77" s="106">
        <f>IF(Picks!G77="","",Picks!G77)</f>
        <v>1.6153846153846154</v>
      </c>
      <c r="E77" s="107" t="str">
        <f>IF(Picks!H77="","",Picks!H77)</f>
        <v>x</v>
      </c>
      <c r="F77" s="108">
        <f>IF(Picks!I77="","",Picks!I77)</f>
        <v>-5.35</v>
      </c>
      <c r="G77" s="109">
        <f>IF(Picks!J77="","",Picks!J77)</f>
        <v>11.059615384615384</v>
      </c>
    </row>
    <row r="78" spans="1:7" ht="13.15">
      <c r="A78" s="110"/>
      <c r="B78" s="59" t="str">
        <f>IF(Picks!E78="","",Picks!E78)</f>
        <v>Denmark</v>
      </c>
      <c r="C78" s="518">
        <f>IF(Picks!F78="","",Picks!F78)</f>
        <v>1</v>
      </c>
      <c r="D78" s="44">
        <f>IF(Picks!G78="","",Picks!G78)</f>
        <v>1.65</v>
      </c>
      <c r="E78" s="79" t="str">
        <f>IF(Picks!H78="","",Picks!H78)</f>
        <v>√</v>
      </c>
      <c r="F78" s="127" t="str">
        <f>IF(Picks!I78="","",Picks!I78)</f>
        <v/>
      </c>
      <c r="G78" s="44" t="str">
        <f>IF(Picks!J78="","",Picks!J78)</f>
        <v/>
      </c>
    </row>
    <row r="79" spans="1:7" ht="13.5" thickBot="1">
      <c r="A79" s="128"/>
      <c r="B79" s="123" t="str">
        <f>IF(Picks!E79="","",Picks!E79)</f>
        <v>Southend</v>
      </c>
      <c r="C79" s="519">
        <f>IF(Picks!F79="","",Picks!F79)</f>
        <v>1</v>
      </c>
      <c r="D79" s="124">
        <f>IF(Picks!G79="","",Picks!G79)</f>
        <v>1.75</v>
      </c>
      <c r="E79" s="79" t="str">
        <f>IF(Picks!H79="","",Picks!H79)</f>
        <v>x</v>
      </c>
      <c r="F79" s="127" t="str">
        <f>IF(Picks!I79="","",Picks!I79)</f>
        <v/>
      </c>
      <c r="G79" s="44" t="str">
        <f>IF(Picks!J79="","",Picks!J79)</f>
        <v/>
      </c>
    </row>
    <row r="80" spans="1:7" ht="13.9" thickTop="1" thickBot="1">
      <c r="A80" s="110" t="str">
        <f>IF(Picks!A80="","",Picks!A80)</f>
        <v>Lennie Bow</v>
      </c>
      <c r="B80" s="105" t="str">
        <f>IF(Picks!E80="","",Picks!E80)</f>
        <v>Georgia</v>
      </c>
      <c r="C80" s="518">
        <f>IF(Picks!F80="","",Picks!F80)</f>
        <v>6</v>
      </c>
      <c r="D80" s="106">
        <f>IF(Picks!G80="","",Picks!G80)</f>
        <v>1.85</v>
      </c>
      <c r="E80" s="107" t="str">
        <f>IF(Picks!H80="","",Picks!H80)</f>
        <v>x</v>
      </c>
      <c r="F80" s="108">
        <f>IF(Picks!I80="","",Picks!I80)</f>
        <v>-7</v>
      </c>
      <c r="G80" s="109">
        <f>IF(Picks!J80="","",Picks!J80)</f>
        <v>12.498076923076923</v>
      </c>
    </row>
    <row r="81" spans="1:7" ht="13.15">
      <c r="A81" s="110"/>
      <c r="B81" s="59" t="str">
        <f>IF(Picks!E81="","",Picks!E81)</f>
        <v>Plymouth</v>
      </c>
      <c r="C81" s="518">
        <f>IF(Picks!F81="","",Picks!F81)</f>
        <v>7</v>
      </c>
      <c r="D81" s="44">
        <f>IF(Picks!G81="","",Picks!G81)</f>
        <v>1.6153846153846154</v>
      </c>
      <c r="E81" s="79" t="str">
        <f>IF(Picks!H81="","",Picks!H81)</f>
        <v>x</v>
      </c>
      <c r="F81" s="127" t="str">
        <f>IF(Picks!I81="","",Picks!I81)</f>
        <v/>
      </c>
      <c r="G81" s="44" t="str">
        <f>IF(Picks!J81="","",Picks!J81)</f>
        <v/>
      </c>
    </row>
    <row r="82" spans="1:7" ht="13.5" thickBot="1">
      <c r="A82" s="128"/>
      <c r="B82" s="123" t="str">
        <f>IF(Picks!E82="","",Picks!E82)</f>
        <v>Southend</v>
      </c>
      <c r="C82" s="519">
        <f>IF(Picks!F82="","",Picks!F82)</f>
        <v>1</v>
      </c>
      <c r="D82" s="124">
        <f>IF(Picks!G82="","",Picks!G82)</f>
        <v>1.75</v>
      </c>
      <c r="E82" s="79" t="str">
        <f>IF(Picks!H82="","",Picks!H82)</f>
        <v>x</v>
      </c>
      <c r="F82" s="127" t="str">
        <f>IF(Picks!I82="","",Picks!I82)</f>
        <v/>
      </c>
      <c r="G82" s="44" t="str">
        <f>IF(Picks!J82="","",Picks!J82)</f>
        <v/>
      </c>
    </row>
    <row r="83" spans="1:7" ht="13.9" thickTop="1" thickBot="1">
      <c r="A83" s="110" t="str">
        <f>IF(Picks!A83="","",Picks!A83)</f>
        <v>Mark Bunn</v>
      </c>
      <c r="B83" s="105" t="str">
        <f>IF(Picks!E83="","",Picks!E83)</f>
        <v>Crewe</v>
      </c>
      <c r="C83" s="518">
        <f>IF(Picks!F83="","",Picks!F83)</f>
        <v>7</v>
      </c>
      <c r="D83" s="106">
        <f>IF(Picks!G83="","",Picks!G83)</f>
        <v>3.1</v>
      </c>
      <c r="E83" s="107" t="str">
        <f>IF(Picks!H83="","",Picks!H83)</f>
        <v>x</v>
      </c>
      <c r="F83" s="108">
        <f>IF(Picks!I83="","",Picks!I83)</f>
        <v>-4.5999999999999996</v>
      </c>
      <c r="G83" s="109">
        <f>IF(Picks!J83="","",Picks!J83)</f>
        <v>34.516999999999996</v>
      </c>
    </row>
    <row r="84" spans="1:7" ht="13.15">
      <c r="A84" s="110"/>
      <c r="B84" s="59" t="str">
        <f>IF(Picks!E84="","",Picks!E84)</f>
        <v>Swindon</v>
      </c>
      <c r="C84" s="518">
        <f>IF(Picks!F84="","",Picks!F84)</f>
        <v>7</v>
      </c>
      <c r="D84" s="44">
        <f>IF(Picks!G84="","",Picks!G84)</f>
        <v>2.0499999999999998</v>
      </c>
      <c r="E84" s="79" t="str">
        <f>IF(Picks!H84="","",Picks!H84)</f>
        <v>x</v>
      </c>
      <c r="F84" s="127" t="str">
        <f>IF(Picks!I84="","",Picks!I84)</f>
        <v/>
      </c>
      <c r="G84" s="44" t="str">
        <f>IF(Picks!J84="","",Picks!J84)</f>
        <v/>
      </c>
    </row>
    <row r="85" spans="1:7" ht="13.5" thickBot="1">
      <c r="A85" s="128"/>
      <c r="B85" s="123" t="str">
        <f>IF(Picks!E85="","",Picks!E85)</f>
        <v>Aldershot</v>
      </c>
      <c r="C85" s="519">
        <f>IF(Picks!F85="","",Picks!F85)</f>
        <v>1</v>
      </c>
      <c r="D85" s="124">
        <f>IF(Picks!G85="","",Picks!G85)</f>
        <v>2.4</v>
      </c>
      <c r="E85" s="79" t="str">
        <f>IF(Picks!H85="","",Picks!H85)</f>
        <v>√</v>
      </c>
      <c r="F85" s="127" t="str">
        <f>IF(Picks!I85="","",Picks!I85)</f>
        <v/>
      </c>
      <c r="G85" s="44" t="str">
        <f>IF(Picks!J85="","",Picks!J85)</f>
        <v/>
      </c>
    </row>
    <row r="86" spans="1:7" ht="13.9" thickTop="1" thickBot="1">
      <c r="A86" s="110" t="str">
        <f>IF(Picks!A86="","",Picks!A86)</f>
        <v>Mark Saunders</v>
      </c>
      <c r="B86" s="105" t="str">
        <f>IF(Picks!E86="","",Picks!E86)</f>
        <v>Ireland</v>
      </c>
      <c r="C86" s="518">
        <f>IF(Picks!F86="","",Picks!F86)</f>
        <v>1</v>
      </c>
      <c r="D86" s="106">
        <f>IF(Picks!G86="","",Picks!G86)</f>
        <v>2.625</v>
      </c>
      <c r="E86" s="107" t="str">
        <f>IF(Picks!H86="","",Picks!H86)</f>
        <v>√</v>
      </c>
      <c r="F86" s="108">
        <f>IF(Picks!I86="","",Picks!I86)</f>
        <v>14.65625</v>
      </c>
      <c r="G86" s="109">
        <f>IF(Picks!J86="","",Picks!J86)</f>
        <v>14.65625</v>
      </c>
    </row>
    <row r="87" spans="1:7" ht="13.15">
      <c r="A87" s="110"/>
      <c r="B87" s="59" t="str">
        <f>IF(Picks!E87="","",Picks!E87)</f>
        <v>York</v>
      </c>
      <c r="C87" s="518">
        <f>IF(Picks!F87="","",Picks!F87)</f>
        <v>7</v>
      </c>
      <c r="D87" s="44">
        <f>IF(Picks!G87="","",Picks!G87)</f>
        <v>1.5</v>
      </c>
      <c r="E87" s="79" t="str">
        <f>IF(Picks!H87="","",Picks!H87)</f>
        <v>√</v>
      </c>
      <c r="F87" s="127" t="str">
        <f>IF(Picks!I87="","",Picks!I87)</f>
        <v/>
      </c>
      <c r="G87" s="44" t="str">
        <f>IF(Picks!J87="","",Picks!J87)</f>
        <v/>
      </c>
    </row>
    <row r="88" spans="1:7" ht="13.5" thickBot="1">
      <c r="A88" s="128"/>
      <c r="B88" s="123" t="str">
        <f>IF(Picks!E88="","",Picks!E88)</f>
        <v>Sweden</v>
      </c>
      <c r="C88" s="519">
        <f>IF(Picks!F88="","",Picks!F88)</f>
        <v>6</v>
      </c>
      <c r="D88" s="124">
        <f>IF(Picks!G88="","",Picks!G88)</f>
        <v>1.5</v>
      </c>
      <c r="E88" s="79" t="str">
        <f>IF(Picks!H88="","",Picks!H88)</f>
        <v>√</v>
      </c>
      <c r="F88" s="127" t="str">
        <f>IF(Picks!I88="","",Picks!I88)</f>
        <v/>
      </c>
      <c r="G88" s="44" t="str">
        <f>IF(Picks!J88="","",Picks!J88)</f>
        <v/>
      </c>
    </row>
    <row r="89" spans="1:7" ht="13.9" thickTop="1" thickBot="1">
      <c r="A89" s="110" t="str">
        <f>IF(Picks!A89="","",Picks!A89)</f>
        <v>Martin Molyneux</v>
      </c>
      <c r="B89" s="105" t="str">
        <f>IF(Picks!E89="","",Picks!E89)</f>
        <v/>
      </c>
      <c r="C89" s="518" t="str">
        <f>IF(Picks!F89="","",Picks!F89)</f>
        <v/>
      </c>
      <c r="D89" s="106" t="str">
        <f>IF(Picks!G89="","",Picks!G89)</f>
        <v/>
      </c>
      <c r="E89" s="107" t="str">
        <f>IF(Picks!H89="","",Picks!H89)</f>
        <v/>
      </c>
      <c r="F89" s="108">
        <f>IF(Picks!I89="","",Picks!I89)</f>
        <v>-10</v>
      </c>
      <c r="G89" s="109" t="str">
        <f>IF(Picks!J89="","",Picks!J89)</f>
        <v/>
      </c>
    </row>
    <row r="90" spans="1:7" ht="13.15">
      <c r="A90" s="110"/>
      <c r="B90" s="59" t="str">
        <f>IF(Picks!E90="","",Picks!E90)</f>
        <v/>
      </c>
      <c r="C90" s="518" t="str">
        <f>IF(Picks!F90="","",Picks!F90)</f>
        <v/>
      </c>
      <c r="D90" s="44" t="str">
        <f>IF(Picks!G90="","",Picks!G90)</f>
        <v/>
      </c>
      <c r="E90" s="79" t="str">
        <f>IF(Picks!H90="","",Picks!H90)</f>
        <v/>
      </c>
      <c r="F90" s="127" t="str">
        <f>IF(Picks!I90="","",Picks!I90)</f>
        <v/>
      </c>
      <c r="G90" s="44" t="str">
        <f>IF(Picks!J90="","",Picks!J90)</f>
        <v/>
      </c>
    </row>
    <row r="91" spans="1:7" ht="13.5" thickBot="1">
      <c r="A91" s="128"/>
      <c r="B91" s="123" t="str">
        <f>IF(Picks!E91="","",Picks!E91)</f>
        <v/>
      </c>
      <c r="C91" s="519" t="str">
        <f>IF(Picks!F91="","",Picks!F91)</f>
        <v/>
      </c>
      <c r="D91" s="124" t="str">
        <f>IF(Picks!G91="","",Picks!G91)</f>
        <v/>
      </c>
      <c r="E91" s="79" t="str">
        <f>IF(Picks!H91="","",Picks!H91)</f>
        <v/>
      </c>
      <c r="F91" s="127" t="str">
        <f>IF(Picks!I91="","",Picks!I91)</f>
        <v/>
      </c>
      <c r="G91" s="44" t="str">
        <f>IF(Picks!J91="","",Picks!J91)</f>
        <v/>
      </c>
    </row>
    <row r="92" spans="1:7" ht="13.9" thickTop="1" thickBot="1">
      <c r="A92" s="110" t="str">
        <f>IF(Picks!A92="","",Picks!A92)</f>
        <v>Martin Tarbuck</v>
      </c>
      <c r="B92" s="105" t="str">
        <f>IF(Picks!E92="","",Picks!E92)</f>
        <v/>
      </c>
      <c r="C92" s="518" t="str">
        <f>IF(Picks!F92="","",Picks!F92)</f>
        <v/>
      </c>
      <c r="D92" s="106" t="str">
        <f>IF(Picks!G92="","",Picks!G92)</f>
        <v/>
      </c>
      <c r="E92" s="107" t="str">
        <f>IF(Picks!H92="","",Picks!H92)</f>
        <v/>
      </c>
      <c r="F92" s="108">
        <f>IF(Picks!I92="","",Picks!I92)</f>
        <v>-10</v>
      </c>
      <c r="G92" s="109" t="str">
        <f>IF(Picks!J92="","",Picks!J92)</f>
        <v/>
      </c>
    </row>
    <row r="93" spans="1:7" ht="13.15">
      <c r="A93" s="110"/>
      <c r="B93" s="59" t="str">
        <f>IF(Picks!E93="","",Picks!E93)</f>
        <v/>
      </c>
      <c r="C93" s="518" t="str">
        <f>IF(Picks!F93="","",Picks!F93)</f>
        <v/>
      </c>
      <c r="D93" s="44" t="str">
        <f>IF(Picks!G93="","",Picks!G93)</f>
        <v/>
      </c>
      <c r="E93" s="79" t="str">
        <f>IF(Picks!H93="","",Picks!H93)</f>
        <v/>
      </c>
      <c r="F93" s="127" t="str">
        <f>IF(Picks!I93="","",Picks!I93)</f>
        <v/>
      </c>
      <c r="G93" s="44" t="str">
        <f>IF(Picks!J93="","",Picks!J93)</f>
        <v/>
      </c>
    </row>
    <row r="94" spans="1:7" ht="13.5" thickBot="1">
      <c r="A94" s="128"/>
      <c r="B94" s="123" t="str">
        <f>IF(Picks!E94="","",Picks!E94)</f>
        <v/>
      </c>
      <c r="C94" s="519" t="str">
        <f>IF(Picks!F94="","",Picks!F94)</f>
        <v/>
      </c>
      <c r="D94" s="124" t="str">
        <f>IF(Picks!G94="","",Picks!G94)</f>
        <v/>
      </c>
      <c r="E94" s="79" t="str">
        <f>IF(Picks!H94="","",Picks!H94)</f>
        <v/>
      </c>
      <c r="F94" s="127" t="str">
        <f>IF(Picks!I94="","",Picks!I94)</f>
        <v/>
      </c>
      <c r="G94" s="44" t="str">
        <f>IF(Picks!J94="","",Picks!J94)</f>
        <v/>
      </c>
    </row>
    <row r="95" spans="1:7" ht="13.9" thickTop="1" thickBot="1">
      <c r="A95" s="110" t="str">
        <f>IF(Picks!A95="","",Picks!A95)</f>
        <v>Mike Penk</v>
      </c>
      <c r="B95" s="105" t="str">
        <f>IF(Picks!E95="","",Picks!E95)</f>
        <v>Cambridge</v>
      </c>
      <c r="C95" s="518">
        <f>IF(Picks!F95="","",Picks!F95)</f>
        <v>7</v>
      </c>
      <c r="D95" s="106">
        <f>IF(Picks!G95="","",Picks!G95)</f>
        <v>1.8</v>
      </c>
      <c r="E95" s="107" t="str">
        <f>IF(Picks!H95="","",Picks!H95)</f>
        <v>x</v>
      </c>
      <c r="F95" s="108">
        <f>IF(Picks!I95="","",Picks!I95)</f>
        <v>-4.8</v>
      </c>
      <c r="G95" s="109">
        <f>IF(Picks!J95="","",Picks!J95)</f>
        <v>20.672000000000004</v>
      </c>
    </row>
    <row r="96" spans="1:7" ht="13.15">
      <c r="A96" s="110"/>
      <c r="B96" s="59" t="str">
        <f>IF(Picks!E96="","",Picks!E96)</f>
        <v>Bulgaria</v>
      </c>
      <c r="C96" s="518">
        <f>IF(Picks!F96="","",Picks!F96)</f>
        <v>7</v>
      </c>
      <c r="D96" s="44">
        <f>IF(Picks!G96="","",Picks!G96)</f>
        <v>2.2000000000000002</v>
      </c>
      <c r="E96" s="79" t="str">
        <f>IF(Picks!H96="","",Picks!H96)</f>
        <v>x</v>
      </c>
      <c r="F96" s="127" t="str">
        <f>IF(Picks!I96="","",Picks!I96)</f>
        <v/>
      </c>
      <c r="G96" s="44" t="str">
        <f>IF(Picks!J96="","",Picks!J96)</f>
        <v/>
      </c>
    </row>
    <row r="97" spans="1:7" ht="13.5" thickBot="1">
      <c r="A97" s="128"/>
      <c r="B97" s="123" t="str">
        <f>IF(Picks!E97="","",Picks!E97)</f>
        <v>Altrincham</v>
      </c>
      <c r="C97" s="519">
        <f>IF(Picks!F97="","",Picks!F97)</f>
        <v>1</v>
      </c>
      <c r="D97" s="124">
        <f>IF(Picks!G97="","",Picks!G97)</f>
        <v>2.2000000000000002</v>
      </c>
      <c r="E97" s="79" t="str">
        <f>IF(Picks!H97="","",Picks!H97)</f>
        <v>√</v>
      </c>
      <c r="F97" s="127" t="str">
        <f>IF(Picks!I97="","",Picks!I97)</f>
        <v/>
      </c>
      <c r="G97" s="44" t="str">
        <f>IF(Picks!J97="","",Picks!J97)</f>
        <v/>
      </c>
    </row>
    <row r="98" spans="1:7" ht="13.9" thickTop="1" thickBot="1">
      <c r="A98" s="110" t="str">
        <f>IF(Picks!A98="","",Picks!A98)</f>
        <v>Naaman Boyd</v>
      </c>
      <c r="B98" s="105" t="str">
        <f>IF(Picks!E98="","",Picks!E98)</f>
        <v>Shrewsbury</v>
      </c>
      <c r="C98" s="518">
        <f>IF(Picks!F98="","",Picks!F98)</f>
        <v>7</v>
      </c>
      <c r="D98" s="106">
        <f>IF(Picks!G98="","",Picks!G98)</f>
        <v>2.5</v>
      </c>
      <c r="E98" s="107" t="str">
        <f>IF(Picks!H98="","",Picks!H98)</f>
        <v>x</v>
      </c>
      <c r="F98" s="108">
        <f>IF(Picks!I98="","",Picks!I98)</f>
        <v>-5.5</v>
      </c>
      <c r="G98" s="109">
        <f>IF(Picks!J98="","",Picks!J98)</f>
        <v>22.625</v>
      </c>
    </row>
    <row r="99" spans="1:7" ht="13.15">
      <c r="A99" s="110"/>
      <c r="B99" s="59" t="str">
        <f>IF(Picks!E99="","",Picks!E99)</f>
        <v>Tranmere</v>
      </c>
      <c r="C99" s="518">
        <f>IF(Picks!F99="","",Picks!F99)</f>
        <v>7</v>
      </c>
      <c r="D99" s="44">
        <f>IF(Picks!G99="","",Picks!G99)</f>
        <v>2.5</v>
      </c>
      <c r="E99" s="79" t="str">
        <f>IF(Picks!H99="","",Picks!H99)</f>
        <v>x</v>
      </c>
      <c r="F99" s="127" t="str">
        <f>IF(Picks!I99="","",Picks!I99)</f>
        <v/>
      </c>
      <c r="G99" s="44" t="str">
        <f>IF(Picks!J99="","",Picks!J99)</f>
        <v/>
      </c>
    </row>
    <row r="100" spans="1:7" ht="13.5" thickBot="1">
      <c r="A100" s="128"/>
      <c r="B100" s="123" t="str">
        <f>IF(Picks!E100="","",Picks!E100)</f>
        <v>York</v>
      </c>
      <c r="C100" s="519">
        <f>IF(Picks!F100="","",Picks!F100)</f>
        <v>7</v>
      </c>
      <c r="D100" s="124">
        <f>IF(Picks!G100="","",Picks!G100)</f>
        <v>1.5</v>
      </c>
      <c r="E100" s="79" t="str">
        <f>IF(Picks!H100="","",Picks!H100)</f>
        <v>√</v>
      </c>
      <c r="F100" s="127" t="str">
        <f>IF(Picks!I100="","",Picks!I100)</f>
        <v/>
      </c>
      <c r="G100" s="44" t="str">
        <f>IF(Picks!J100="","",Picks!J100)</f>
        <v/>
      </c>
    </row>
    <row r="101" spans="1:7" ht="13.9" thickTop="1" thickBot="1">
      <c r="A101" s="110" t="str">
        <f>IF(Picks!A101="","",Picks!A101)</f>
        <v>Nick Blocksidge</v>
      </c>
      <c r="B101" s="105" t="str">
        <f>IF(Picks!E101="","",Picks!E101)</f>
        <v>Stockport</v>
      </c>
      <c r="C101" s="518">
        <f>IF(Picks!F101="","",Picks!F101)</f>
        <v>7</v>
      </c>
      <c r="D101" s="106">
        <f>IF(Picks!G101="","",Picks!G101)</f>
        <v>1.3636363636363638</v>
      </c>
      <c r="E101" s="107" t="str">
        <f>IF(Picks!H101="","",Picks!H101)</f>
        <v>√</v>
      </c>
      <c r="F101" s="108">
        <f>IF(Picks!I101="","",Picks!I101)</f>
        <v>-2.0909090909090899</v>
      </c>
      <c r="G101" s="109">
        <f>IF(Picks!J101="","",Picks!J101)</f>
        <v>18.000000000000004</v>
      </c>
    </row>
    <row r="102" spans="1:7" ht="13.15">
      <c r="A102" s="110"/>
      <c r="B102" s="59" t="str">
        <f>IF(Picks!E102="","",Picks!E102)</f>
        <v>York</v>
      </c>
      <c r="C102" s="518">
        <f>IF(Picks!F102="","",Picks!F102)</f>
        <v>7</v>
      </c>
      <c r="D102" s="44">
        <f>IF(Picks!G102="","",Picks!G102)</f>
        <v>1.5</v>
      </c>
      <c r="E102" s="79" t="str">
        <f>IF(Picks!H102="","",Picks!H102)</f>
        <v>√</v>
      </c>
      <c r="F102" s="127" t="str">
        <f>IF(Picks!I102="","",Picks!I102)</f>
        <v/>
      </c>
      <c r="G102" s="44" t="str">
        <f>IF(Picks!J102="","",Picks!J102)</f>
        <v/>
      </c>
    </row>
    <row r="103" spans="1:7" ht="13.5" thickBot="1">
      <c r="A103" s="128"/>
      <c r="B103" s="123" t="str">
        <f>IF(Picks!E103="","",Picks!E103)</f>
        <v>Italy draw</v>
      </c>
      <c r="C103" s="519">
        <f>IF(Picks!F103="","",Picks!F103)</f>
        <v>6</v>
      </c>
      <c r="D103" s="124">
        <f>IF(Picks!G103="","",Picks!G103)</f>
        <v>3.4</v>
      </c>
      <c r="E103" s="79" t="str">
        <f>IF(Picks!H103="","",Picks!H103)</f>
        <v>x</v>
      </c>
      <c r="F103" s="127" t="str">
        <f>IF(Picks!I103="","",Picks!I103)</f>
        <v/>
      </c>
      <c r="G103" s="44" t="str">
        <f>IF(Picks!J103="","",Picks!J103)</f>
        <v/>
      </c>
    </row>
    <row r="104" spans="1:7" ht="13.9" thickTop="1" thickBot="1">
      <c r="A104" s="110" t="str">
        <f>IF(Picks!A104="","",Picks!A104)</f>
        <v>Nigel Heyes</v>
      </c>
      <c r="B104" s="105" t="str">
        <f>IF(Picks!E104="","",Picks!E104)</f>
        <v>Chesterfield</v>
      </c>
      <c r="C104" s="518">
        <f>IF(Picks!F104="","",Picks!F104)</f>
        <v>7</v>
      </c>
      <c r="D104" s="106">
        <f>IF(Picks!G104="","",Picks!G104)</f>
        <v>2.15</v>
      </c>
      <c r="E104" s="107" t="str">
        <f>IF(Picks!H104="","",Picks!H104)</f>
        <v>x</v>
      </c>
      <c r="F104" s="108">
        <f>IF(Picks!I104="","",Picks!I104)</f>
        <v>-7</v>
      </c>
      <c r="G104" s="109">
        <f>IF(Picks!J104="","",Picks!J104)</f>
        <v>21.783249999999999</v>
      </c>
    </row>
    <row r="105" spans="1:7" ht="13.15">
      <c r="A105" s="110"/>
      <c r="B105" s="59" t="str">
        <f>IF(Picks!E105="","",Picks!E105)</f>
        <v>Rotherham</v>
      </c>
      <c r="C105" s="518">
        <f>IF(Picks!F105="","",Picks!F105)</f>
        <v>7</v>
      </c>
      <c r="D105" s="44">
        <f>IF(Picks!G105="","",Picks!G105)</f>
        <v>2.1</v>
      </c>
      <c r="E105" s="79" t="str">
        <f>IF(Picks!H105="","",Picks!H105)</f>
        <v>x</v>
      </c>
      <c r="F105" s="127" t="str">
        <f>IF(Picks!I105="","",Picks!I105)</f>
        <v/>
      </c>
      <c r="G105" s="44" t="str">
        <f>IF(Picks!J105="","",Picks!J105)</f>
        <v/>
      </c>
    </row>
    <row r="106" spans="1:7" ht="13.5" thickBot="1">
      <c r="A106" s="128"/>
      <c r="B106" s="123" t="str">
        <f>IF(Picks!E106="","",Picks!E106)</f>
        <v>Swindon</v>
      </c>
      <c r="C106" s="519">
        <f>IF(Picks!F106="","",Picks!F106)</f>
        <v>7</v>
      </c>
      <c r="D106" s="124">
        <f>IF(Picks!G106="","",Picks!G106)</f>
        <v>2.0499999999999998</v>
      </c>
      <c r="E106" s="79" t="str">
        <f>IF(Picks!H106="","",Picks!H106)</f>
        <v>x</v>
      </c>
      <c r="F106" s="127" t="str">
        <f>IF(Picks!I106="","",Picks!I106)</f>
        <v/>
      </c>
      <c r="G106" s="44" t="str">
        <f>IF(Picks!J106="","",Picks!J106)</f>
        <v/>
      </c>
    </row>
    <row r="107" spans="1:7" ht="13.9" thickTop="1" thickBot="1">
      <c r="A107" s="110" t="str">
        <f>IF(Picks!A107="","",Picks!A107)</f>
        <v>Paul Adderley</v>
      </c>
      <c r="B107" s="105" t="str">
        <f>IF(Picks!E107="","",Picks!E107)</f>
        <v>Cambridge</v>
      </c>
      <c r="C107" s="518">
        <f>IF(Picks!F107="","",Picks!F107)</f>
        <v>7</v>
      </c>
      <c r="D107" s="106">
        <f>IF(Picks!G107="","",Picks!G107)</f>
        <v>1.8</v>
      </c>
      <c r="E107" s="107" t="str">
        <f>IF(Picks!H107="","",Picks!H107)</f>
        <v>x</v>
      </c>
      <c r="F107" s="108">
        <f>IF(Picks!I107="","",Picks!I107)</f>
        <v>-5.2727272727272725</v>
      </c>
      <c r="G107" s="109">
        <f>IF(Picks!J107="","",Picks!J107)</f>
        <v>11.972027972027973</v>
      </c>
    </row>
    <row r="108" spans="1:7" ht="13.15">
      <c r="A108" s="110"/>
      <c r="B108" s="59" t="str">
        <f>IF(Picks!E108="","",Picks!E108)</f>
        <v>Plymouth</v>
      </c>
      <c r="C108" s="518">
        <f>IF(Picks!F108="","",Picks!F108)</f>
        <v>7</v>
      </c>
      <c r="D108" s="44">
        <f>IF(Picks!G108="","",Picks!G108)</f>
        <v>1.6153846153846154</v>
      </c>
      <c r="E108" s="79" t="str">
        <f>IF(Picks!H108="","",Picks!H108)</f>
        <v>x</v>
      </c>
      <c r="F108" s="127" t="str">
        <f>IF(Picks!I108="","",Picks!I108)</f>
        <v/>
      </c>
      <c r="G108" s="44" t="str">
        <f>IF(Picks!J108="","",Picks!J108)</f>
        <v/>
      </c>
    </row>
    <row r="109" spans="1:7" ht="13.5" thickBot="1">
      <c r="A109" s="128"/>
      <c r="B109" s="123" t="str">
        <f>IF(Picks!E109="","",Picks!E109)</f>
        <v>Bristol R</v>
      </c>
      <c r="C109" s="519">
        <f>IF(Picks!F109="","",Picks!F109)</f>
        <v>7</v>
      </c>
      <c r="D109" s="124">
        <f>IF(Picks!G109="","",Picks!G109)</f>
        <v>1.7272727272727273</v>
      </c>
      <c r="E109" s="79" t="str">
        <f>IF(Picks!H109="","",Picks!H109)</f>
        <v>√</v>
      </c>
      <c r="F109" s="127" t="str">
        <f>IF(Picks!I109="","",Picks!I109)</f>
        <v/>
      </c>
      <c r="G109" s="44" t="str">
        <f>IF(Picks!J109="","",Picks!J109)</f>
        <v/>
      </c>
    </row>
    <row r="110" spans="1:7" ht="13.9" thickTop="1" thickBot="1">
      <c r="A110" s="110" t="str">
        <f>IF(Picks!A110="","",Picks!A110)</f>
        <v>Paul Allen</v>
      </c>
      <c r="B110" s="105" t="str">
        <f>IF(Picks!E110="","",Picks!E110)</f>
        <v>Italy draw</v>
      </c>
      <c r="C110" s="518">
        <f>IF(Picks!F110="","",Picks!F110)</f>
        <v>6</v>
      </c>
      <c r="D110" s="106">
        <f>IF(Picks!G110="","",Picks!G110)</f>
        <v>3.4</v>
      </c>
      <c r="E110" s="107" t="str">
        <f>IF(Picks!H110="","",Picks!H110)</f>
        <v>x</v>
      </c>
      <c r="F110" s="108">
        <f>IF(Picks!I110="","",Picks!I110)</f>
        <v>-7</v>
      </c>
      <c r="G110" s="109">
        <f>IF(Picks!J110="","",Picks!J110)</f>
        <v>69.571999999999989</v>
      </c>
    </row>
    <row r="111" spans="1:7" ht="13.15">
      <c r="A111" s="110"/>
      <c r="B111" s="59" t="str">
        <f>IF(Picks!E111="","",Picks!E111)</f>
        <v>Czech draw</v>
      </c>
      <c r="C111" s="518">
        <f>IF(Picks!F111="","",Picks!F111)</f>
        <v>7</v>
      </c>
      <c r="D111" s="44">
        <f>IF(Picks!G111="","",Picks!G111)</f>
        <v>3.3</v>
      </c>
      <c r="E111" s="79" t="str">
        <f>IF(Picks!H111="","",Picks!H111)</f>
        <v>x</v>
      </c>
      <c r="F111" s="127" t="str">
        <f>IF(Picks!I111="","",Picks!I111)</f>
        <v/>
      </c>
      <c r="G111" s="44" t="str">
        <f>IF(Picks!J111="","",Picks!J111)</f>
        <v/>
      </c>
    </row>
    <row r="112" spans="1:7" ht="13.5" thickBot="1">
      <c r="A112" s="128"/>
      <c r="B112" s="59" t="str">
        <f>IF(Picks!E112="","",Picks!E112)</f>
        <v>England draw</v>
      </c>
      <c r="C112" s="519">
        <f>IF(Picks!F112="","",Picks!F112)</f>
        <v>7</v>
      </c>
      <c r="D112" s="124">
        <f>IF(Picks!G112="","",Picks!G112)</f>
        <v>3.1</v>
      </c>
      <c r="E112" s="79" t="str">
        <f>IF(Picks!H112="","",Picks!H112)</f>
        <v>x</v>
      </c>
      <c r="F112" s="127" t="str">
        <f>IF(Picks!I112="","",Picks!I112)</f>
        <v/>
      </c>
      <c r="G112" s="44" t="str">
        <f>IF(Picks!J112="","",Picks!J112)</f>
        <v/>
      </c>
    </row>
    <row r="113" spans="1:7" ht="13.9" thickTop="1" thickBot="1">
      <c r="A113" s="110" t="str">
        <f>IF(Picks!A113="","",Picks!A113)</f>
        <v>Paul Barnes</v>
      </c>
      <c r="B113" s="105" t="str">
        <f>IF(Picks!E113="","",Picks!E113)</f>
        <v>Sweden</v>
      </c>
      <c r="C113" s="518">
        <f>IF(Picks!F113="","",Picks!F113)</f>
        <v>6</v>
      </c>
      <c r="D113" s="106">
        <f>IF(Picks!G113="","",Picks!G113)</f>
        <v>1.5</v>
      </c>
      <c r="E113" s="107" t="str">
        <f>IF(Picks!H113="","",Picks!H113)</f>
        <v>√</v>
      </c>
      <c r="F113" s="108">
        <f>IF(Picks!I113="","",Picks!I113)</f>
        <v>15.625</v>
      </c>
      <c r="G113" s="109">
        <f>IF(Picks!J113="","",Picks!J113)</f>
        <v>15.625</v>
      </c>
    </row>
    <row r="114" spans="1:7" ht="13.15">
      <c r="A114" s="110"/>
      <c r="B114" s="59" t="str">
        <f>IF(Picks!E114="","",Picks!E114)</f>
        <v>Montenegro</v>
      </c>
      <c r="C114" s="518">
        <f>IF(Picks!F114="","",Picks!F114)</f>
        <v>6</v>
      </c>
      <c r="D114" s="44">
        <f>IF(Picks!G114="","",Picks!G114)</f>
        <v>1.7</v>
      </c>
      <c r="E114" s="79" t="str">
        <f>IF(Picks!H114="","",Picks!H114)</f>
        <v>√</v>
      </c>
      <c r="F114" s="127" t="str">
        <f>IF(Picks!I114="","",Picks!I114)</f>
        <v/>
      </c>
      <c r="G114" s="44" t="str">
        <f>IF(Picks!J114="","",Picks!J114)</f>
        <v/>
      </c>
    </row>
    <row r="115" spans="1:7" ht="13.5" thickBot="1">
      <c r="A115" s="128"/>
      <c r="B115" s="123" t="str">
        <f>IF(Picks!E115="","",Picks!E115)</f>
        <v>Portugal</v>
      </c>
      <c r="C115" s="519">
        <f>IF(Picks!F115="","",Picks!F115)</f>
        <v>1</v>
      </c>
      <c r="D115" s="124">
        <f>IF(Picks!G115="","",Picks!G115)</f>
        <v>2.5</v>
      </c>
      <c r="E115" s="79" t="str">
        <f>IF(Picks!H115="","",Picks!H115)</f>
        <v>√</v>
      </c>
      <c r="F115" s="127" t="str">
        <f>IF(Picks!I115="","",Picks!I115)</f>
        <v/>
      </c>
      <c r="G115" s="44" t="str">
        <f>IF(Picks!J115="","",Picks!J115)</f>
        <v/>
      </c>
    </row>
    <row r="116" spans="1:7" ht="13.9" thickTop="1" thickBot="1">
      <c r="A116" s="110" t="str">
        <f>IF(Picks!A116="","",Picks!A116)</f>
        <v>Paul Fairhurst</v>
      </c>
      <c r="B116" s="105" t="str">
        <f>IF(Picks!E116="","",Picks!E116)</f>
        <v>Spain</v>
      </c>
      <c r="C116" s="518">
        <f>IF(Picks!F116="","",Picks!F116)</f>
        <v>7</v>
      </c>
      <c r="D116" s="106">
        <f>IF(Picks!G116="","",Picks!G116)</f>
        <v>2.4</v>
      </c>
      <c r="E116" s="107" t="str">
        <f>IF(Picks!H116="","",Picks!H116)</f>
        <v>√</v>
      </c>
      <c r="F116" s="108">
        <f>IF(Picks!I116="","",Picks!I116)</f>
        <v>16.990000000000002</v>
      </c>
      <c r="G116" s="109">
        <f>IF(Picks!J116="","",Picks!J116)</f>
        <v>16.990000000000002</v>
      </c>
    </row>
    <row r="117" spans="1:7" ht="13.15">
      <c r="A117" s="110"/>
      <c r="B117" s="59" t="str">
        <f>IF(Picks!E117="","",Picks!E117)</f>
        <v>Finland</v>
      </c>
      <c r="C117" s="518">
        <f>IF(Picks!F117="","",Picks!F117)</f>
        <v>7</v>
      </c>
      <c r="D117" s="44">
        <f>IF(Picks!G117="","",Picks!G117)</f>
        <v>1.1000000000000001</v>
      </c>
      <c r="E117" s="79" t="str">
        <f>IF(Picks!H117="","",Picks!H117)</f>
        <v>√</v>
      </c>
      <c r="F117" s="127" t="str">
        <f>IF(Picks!I117="","",Picks!I117)</f>
        <v/>
      </c>
      <c r="G117" s="44" t="str">
        <f>IF(Picks!J117="","",Picks!J117)</f>
        <v/>
      </c>
    </row>
    <row r="118" spans="1:7" ht="13.5" thickBot="1">
      <c r="A118" s="128"/>
      <c r="B118" s="123" t="str">
        <f>IF(Picks!E118="","",Picks!E118)</f>
        <v>Portugal</v>
      </c>
      <c r="C118" s="519">
        <f>IF(Picks!F118="","",Picks!F118)</f>
        <v>1</v>
      </c>
      <c r="D118" s="124">
        <f>IF(Picks!G118="","",Picks!G118)</f>
        <v>2.5</v>
      </c>
      <c r="E118" s="79" t="str">
        <f>IF(Picks!H118="","",Picks!H118)</f>
        <v>√</v>
      </c>
      <c r="F118" s="127" t="str">
        <f>IF(Picks!I118="","",Picks!I118)</f>
        <v/>
      </c>
      <c r="G118" s="44" t="str">
        <f>IF(Picks!J118="","",Picks!J118)</f>
        <v/>
      </c>
    </row>
    <row r="119" spans="1:7" ht="13.9" thickTop="1" thickBot="1">
      <c r="A119" s="110" t="str">
        <f>IF(Picks!A119="","",Picks!A119)</f>
        <v>Phil Miller</v>
      </c>
      <c r="B119" s="105" t="str">
        <f>IF(Picks!E119="","",Picks!E119)</f>
        <v>Armenia</v>
      </c>
      <c r="C119" s="518">
        <f>IF(Picks!F119="","",Picks!F119)</f>
        <v>6</v>
      </c>
      <c r="D119" s="106">
        <f>IF(Picks!G119="","",Picks!G119)</f>
        <v>1.7</v>
      </c>
      <c r="E119" s="107" t="str">
        <f>IF(Picks!H119="","",Picks!H119)</f>
        <v>√</v>
      </c>
      <c r="F119" s="108">
        <f>IF(Picks!I119="","",Picks!I119)</f>
        <v>-1.4000000000000004</v>
      </c>
      <c r="G119" s="109">
        <f>IF(Picks!J119="","",Picks!J119)</f>
        <v>7.0857142857142854</v>
      </c>
    </row>
    <row r="120" spans="1:7" ht="13.15">
      <c r="A120" s="110"/>
      <c r="B120" s="59" t="str">
        <f>IF(Picks!E120="","",Picks!E120)</f>
        <v>France</v>
      </c>
      <c r="C120" s="518">
        <f>IF(Picks!F120="","",Picks!F120)</f>
        <v>6</v>
      </c>
      <c r="D120" s="44">
        <f>IF(Picks!G120="","",Picks!G120)</f>
        <v>1.4444444444444444</v>
      </c>
      <c r="E120" s="79" t="str">
        <f>IF(Picks!H120="","",Picks!H120)</f>
        <v>√</v>
      </c>
      <c r="F120" s="127" t="str">
        <f>IF(Picks!I120="","",Picks!I120)</f>
        <v/>
      </c>
      <c r="G120" s="44" t="str">
        <f>IF(Picks!J120="","",Picks!J120)</f>
        <v/>
      </c>
    </row>
    <row r="121" spans="1:7" ht="13.5" thickBot="1">
      <c r="A121" s="128"/>
      <c r="B121" s="123" t="str">
        <f>IF(Picks!E121="","",Picks!E121)</f>
        <v>Iceland</v>
      </c>
      <c r="C121" s="519">
        <f>IF(Picks!F121="","",Picks!F121)</f>
        <v>7</v>
      </c>
      <c r="D121" s="124">
        <f>IF(Picks!G121="","",Picks!G121)</f>
        <v>1.2857142857142856</v>
      </c>
      <c r="E121" s="79" t="str">
        <f>IF(Picks!H121="","",Picks!H121)</f>
        <v>x</v>
      </c>
      <c r="F121" s="127" t="str">
        <f>IF(Picks!I121="","",Picks!I121)</f>
        <v/>
      </c>
      <c r="G121" s="44" t="str">
        <f>IF(Picks!J121="","",Picks!J121)</f>
        <v/>
      </c>
    </row>
    <row r="122" spans="1:7" ht="13.9" thickTop="1" thickBot="1">
      <c r="A122" s="110" t="str">
        <f>IF(Picks!A122="","",Picks!A122)</f>
        <v>Rob England</v>
      </c>
      <c r="B122" s="105" t="str">
        <f>IF(Picks!E122="","",Picks!E122)</f>
        <v>Plymouth</v>
      </c>
      <c r="C122" s="518">
        <f>IF(Picks!F122="","",Picks!F122)</f>
        <v>7</v>
      </c>
      <c r="D122" s="106">
        <f>IF(Picks!G122="","",Picks!G122)</f>
        <v>1.6153846153846154</v>
      </c>
      <c r="E122" s="107" t="str">
        <f>IF(Picks!H122="","",Picks!H122)</f>
        <v>x</v>
      </c>
      <c r="F122" s="108">
        <f>IF(Picks!I122="","",Picks!I122)</f>
        <v>-5.6363636363636367</v>
      </c>
      <c r="G122" s="109">
        <f>IF(Picks!J122="","",Picks!J122)</f>
        <v>9.3090909090909122</v>
      </c>
    </row>
    <row r="123" spans="1:7" ht="13.15">
      <c r="A123" s="110"/>
      <c r="B123" s="59" t="str">
        <f>IF(Picks!E123="","",Picks!E123)</f>
        <v>Stockport</v>
      </c>
      <c r="C123" s="518">
        <f>IF(Picks!F123="","",Picks!F123)</f>
        <v>7</v>
      </c>
      <c r="D123" s="44">
        <f>IF(Picks!G123="","",Picks!G123)</f>
        <v>1.3636363636363638</v>
      </c>
      <c r="E123" s="79" t="str">
        <f>IF(Picks!H123="","",Picks!H123)</f>
        <v>√</v>
      </c>
      <c r="F123" s="127" t="str">
        <f>IF(Picks!I123="","",Picks!I123)</f>
        <v/>
      </c>
      <c r="G123" s="44" t="str">
        <f>IF(Picks!J123="","",Picks!J123)</f>
        <v/>
      </c>
    </row>
    <row r="124" spans="1:7" ht="13.5" thickBot="1">
      <c r="A124" s="128"/>
      <c r="B124" s="123" t="str">
        <f>IF(Picks!E124="","",Picks!E124)</f>
        <v>Grimsby</v>
      </c>
      <c r="C124" s="519">
        <f>IF(Picks!F124="","",Picks!F124)</f>
        <v>7</v>
      </c>
      <c r="D124" s="124">
        <f>IF(Picks!G124="","",Picks!G124)</f>
        <v>1.8</v>
      </c>
      <c r="E124" s="79" t="str">
        <f>IF(Picks!H124="","",Picks!H124)</f>
        <v>x</v>
      </c>
      <c r="F124" s="127" t="str">
        <f>IF(Picks!I124="","",Picks!I124)</f>
        <v/>
      </c>
      <c r="G124" s="44" t="str">
        <f>IF(Picks!J124="","",Picks!J124)</f>
        <v/>
      </c>
    </row>
    <row r="125" spans="1:7" ht="13.9" thickTop="1" thickBot="1">
      <c r="A125" s="110" t="str">
        <f>IF(Picks!A125="","",Picks!A125)</f>
        <v>Simon Greenhalgh</v>
      </c>
      <c r="B125" s="105" t="str">
        <f>IF(Picks!E125="","",Picks!E125)</f>
        <v>Plymouth</v>
      </c>
      <c r="C125" s="518">
        <f>IF(Picks!F125="","",Picks!F125)</f>
        <v>7</v>
      </c>
      <c r="D125" s="106">
        <f>IF(Picks!G125="","",Picks!G125)</f>
        <v>1.6153846153846154</v>
      </c>
      <c r="E125" s="107" t="str">
        <f>IF(Picks!H125="","",Picks!H125)</f>
        <v>x</v>
      </c>
      <c r="F125" s="108">
        <f>IF(Picks!I125="","",Picks!I125)</f>
        <v>-1.75</v>
      </c>
      <c r="G125" s="109">
        <f>IF(Picks!J125="","",Picks!J125)</f>
        <v>8.3461538461538467</v>
      </c>
    </row>
    <row r="126" spans="1:7" ht="13.15">
      <c r="A126" s="110"/>
      <c r="B126" s="59" t="str">
        <f>IF(Picks!E126="","",Picks!E126)</f>
        <v>Albania</v>
      </c>
      <c r="C126" s="518">
        <f>IF(Picks!F126="","",Picks!F126)</f>
        <v>7</v>
      </c>
      <c r="D126" s="44">
        <f>IF(Picks!G126="","",Picks!G126)</f>
        <v>1.5</v>
      </c>
      <c r="E126" s="79" t="str">
        <f>IF(Picks!H126="","",Picks!H126)</f>
        <v>√</v>
      </c>
      <c r="F126" s="127" t="str">
        <f>IF(Picks!I126="","",Picks!I126)</f>
        <v/>
      </c>
      <c r="G126" s="44" t="str">
        <f>IF(Picks!J126="","",Picks!J126)</f>
        <v/>
      </c>
    </row>
    <row r="127" spans="1:7" ht="13.5" thickBot="1">
      <c r="A127" s="128"/>
      <c r="B127" s="123" t="str">
        <f>IF(Picks!E127="","",Picks!E127)</f>
        <v>York</v>
      </c>
      <c r="C127" s="519">
        <f>IF(Picks!F127="","",Picks!F127)</f>
        <v>7</v>
      </c>
      <c r="D127" s="124">
        <f>IF(Picks!G127="","",Picks!G127)</f>
        <v>1.5</v>
      </c>
      <c r="E127" s="79" t="str">
        <f>IF(Picks!H127="","",Picks!H127)</f>
        <v>√</v>
      </c>
      <c r="F127" s="127" t="str">
        <f>IF(Picks!I127="","",Picks!I127)</f>
        <v/>
      </c>
      <c r="G127" s="44" t="str">
        <f>IF(Picks!J127="","",Picks!J127)</f>
        <v/>
      </c>
    </row>
    <row r="128" spans="1:7" ht="13.9" thickTop="1" thickBot="1">
      <c r="A128" s="110" t="str">
        <f>IF(Picks!A128="","",Picks!A128)</f>
        <v>Simon Kimble</v>
      </c>
      <c r="B128" s="105" t="str">
        <f>IF(Picks!E128="","",Picks!E128)</f>
        <v>Wycombe</v>
      </c>
      <c r="C128" s="518">
        <f>IF(Picks!F128="","",Picks!F128)</f>
        <v>7</v>
      </c>
      <c r="D128" s="106">
        <f>IF(Picks!G128="","",Picks!G128)</f>
        <v>2.4500000000000002</v>
      </c>
      <c r="E128" s="107" t="str">
        <f>IF(Picks!H128="","",Picks!H128)</f>
        <v>x</v>
      </c>
      <c r="F128" s="108">
        <f>IF(Picks!I128="","",Picks!I128)</f>
        <v>-7</v>
      </c>
      <c r="G128" s="109">
        <f>IF(Picks!J128="","",Picks!J128)</f>
        <v>50.719000000000001</v>
      </c>
    </row>
    <row r="129" spans="1:7" ht="13.15">
      <c r="A129" s="110"/>
      <c r="B129" s="59" t="str">
        <f>IF(Picks!E129="","",Picks!E129)</f>
        <v>Oldham draw</v>
      </c>
      <c r="C129" s="518">
        <f>IF(Picks!F129="","",Picks!F129)</f>
        <v>7</v>
      </c>
      <c r="D129" s="44">
        <f>IF(Picks!G129="","",Picks!G129)</f>
        <v>3.6</v>
      </c>
      <c r="E129" s="79" t="str">
        <f>IF(Picks!H129="","",Picks!H129)</f>
        <v>x</v>
      </c>
      <c r="F129" s="127" t="str">
        <f>IF(Picks!I129="","",Picks!I129)</f>
        <v/>
      </c>
      <c r="G129" s="44" t="str">
        <f>IF(Picks!J129="","",Picks!J129)</f>
        <v/>
      </c>
    </row>
    <row r="130" spans="1:7" ht="13.5" thickBot="1">
      <c r="A130" s="128"/>
      <c r="B130" s="123" t="str">
        <f>IF(Picks!E130="","",Picks!E130)</f>
        <v>Walsall</v>
      </c>
      <c r="C130" s="519">
        <f>IF(Picks!F130="","",Picks!F130)</f>
        <v>7</v>
      </c>
      <c r="D130" s="124">
        <f>IF(Picks!G130="","",Picks!G130)</f>
        <v>2.7</v>
      </c>
      <c r="E130" s="79" t="str">
        <f>IF(Picks!H130="","",Picks!H130)</f>
        <v>x</v>
      </c>
      <c r="F130" s="127" t="str">
        <f>IF(Picks!I130="","",Picks!I130)</f>
        <v/>
      </c>
      <c r="G130" s="44" t="str">
        <f>IF(Picks!J130="","",Picks!J130)</f>
        <v/>
      </c>
    </row>
    <row r="131" spans="1:7" ht="13.9" thickTop="1" thickBot="1">
      <c r="A131" s="110" t="str">
        <f>IF(Picks!A131="","",Picks!A131)</f>
        <v>Simon Richardson</v>
      </c>
      <c r="B131" s="105" t="str">
        <f>IF(Picks!E131="","",Picks!E131)</f>
        <v>Altrincham</v>
      </c>
      <c r="C131" s="518">
        <f>IF(Picks!F131="","",Picks!F131)</f>
        <v>1</v>
      </c>
      <c r="D131" s="106">
        <f>IF(Picks!G131="","",Picks!G131)</f>
        <v>2.2000000000000002</v>
      </c>
      <c r="E131" s="107" t="str">
        <f>IF(Picks!H131="","",Picks!H131)</f>
        <v>√</v>
      </c>
      <c r="F131" s="108">
        <f>IF(Picks!I131="","",Picks!I131)</f>
        <v>-4.8</v>
      </c>
      <c r="G131" s="109">
        <f>IF(Picks!J131="","",Picks!J131)</f>
        <v>28.960000000000008</v>
      </c>
    </row>
    <row r="132" spans="1:7" ht="13.15">
      <c r="A132" s="110"/>
      <c r="B132" s="59" t="str">
        <f>IF(Picks!E132="","",Picks!E132)</f>
        <v>Hartlepool</v>
      </c>
      <c r="C132" s="518">
        <f>IF(Picks!F132="","",Picks!F132)</f>
        <v>1</v>
      </c>
      <c r="D132" s="44">
        <f>IF(Picks!G132="","",Picks!G132)</f>
        <v>3.2</v>
      </c>
      <c r="E132" s="79" t="str">
        <f>IF(Picks!H132="","",Picks!H132)</f>
        <v>x</v>
      </c>
      <c r="F132" s="127" t="str">
        <f>IF(Picks!I132="","",Picks!I132)</f>
        <v/>
      </c>
      <c r="G132" s="44" t="str">
        <f>IF(Picks!J132="","",Picks!J132)</f>
        <v/>
      </c>
    </row>
    <row r="133" spans="1:7" ht="13.5" thickBot="1">
      <c r="A133" s="128"/>
      <c r="B133" s="123" t="str">
        <f>IF(Picks!E133="","",Picks!E133)</f>
        <v>Southend</v>
      </c>
      <c r="C133" s="519">
        <f>IF(Picks!F133="","",Picks!F133)</f>
        <v>1</v>
      </c>
      <c r="D133" s="124">
        <f>IF(Picks!G133="","",Picks!G133)</f>
        <v>1.75</v>
      </c>
      <c r="E133" s="79" t="str">
        <f>IF(Picks!H133="","",Picks!H133)</f>
        <v>x</v>
      </c>
      <c r="F133" s="127" t="str">
        <f>IF(Picks!I133="","",Picks!I133)</f>
        <v/>
      </c>
      <c r="G133" s="44" t="str">
        <f>IF(Picks!J133="","",Picks!J133)</f>
        <v/>
      </c>
    </row>
    <row r="134" spans="1:7" ht="13.9" thickTop="1" thickBot="1">
      <c r="A134" s="110" t="str">
        <f>IF(Picks!A134="","",Picks!A134)</f>
        <v>Stephen Barr</v>
      </c>
      <c r="B134" s="105" t="str">
        <f>IF(Picks!E134="","",Picks!E134)</f>
        <v>Bristol R</v>
      </c>
      <c r="C134" s="518">
        <f>IF(Picks!F134="","",Picks!F134)</f>
        <v>7</v>
      </c>
      <c r="D134" s="106">
        <f>IF(Picks!G134="","",Picks!G134)</f>
        <v>1.7272727272727273</v>
      </c>
      <c r="E134" s="107" t="str">
        <f>IF(Picks!H134="","",Picks!H134)</f>
        <v>√</v>
      </c>
      <c r="F134" s="108">
        <f>IF(Picks!I134="","",Picks!I134)</f>
        <v>-5.2727272727272725</v>
      </c>
      <c r="G134" s="109">
        <f>IF(Picks!J134="","",Picks!J134)</f>
        <v>13.755244755244753</v>
      </c>
    </row>
    <row r="135" spans="1:7" ht="13.15">
      <c r="A135" s="110"/>
      <c r="B135" s="59" t="str">
        <f>IF(Picks!E135="","",Picks!E135)</f>
        <v>Plymouth</v>
      </c>
      <c r="C135" s="518">
        <f>IF(Picks!F135="","",Picks!F135)</f>
        <v>7</v>
      </c>
      <c r="D135" s="44">
        <f>IF(Picks!G135="","",Picks!G135)</f>
        <v>1.6153846153846154</v>
      </c>
      <c r="E135" s="79" t="str">
        <f>IF(Picks!H135="","",Picks!H135)</f>
        <v>x</v>
      </c>
      <c r="F135" s="127" t="str">
        <f>IF(Picks!I135="","",Picks!I135)</f>
        <v/>
      </c>
      <c r="G135" s="44" t="str">
        <f>IF(Picks!J135="","",Picks!J135)</f>
        <v/>
      </c>
    </row>
    <row r="136" spans="1:7" ht="13.5" thickBot="1">
      <c r="A136" s="128"/>
      <c r="B136" s="123" t="str">
        <f>IF(Picks!E136="","",Picks!E136)</f>
        <v>Swindon</v>
      </c>
      <c r="C136" s="519">
        <f>IF(Picks!F136="","",Picks!F136)</f>
        <v>7</v>
      </c>
      <c r="D136" s="124">
        <f>IF(Picks!G136="","",Picks!G136)</f>
        <v>2.0499999999999998</v>
      </c>
      <c r="E136" s="79" t="str">
        <f>IF(Picks!H136="","",Picks!H136)</f>
        <v>x</v>
      </c>
      <c r="F136" s="127" t="str">
        <f>IF(Picks!I136="","",Picks!I136)</f>
        <v/>
      </c>
      <c r="G136" s="44" t="str">
        <f>IF(Picks!J136="","",Picks!J136)</f>
        <v/>
      </c>
    </row>
    <row r="137" spans="1:7" ht="13.9" thickTop="1" thickBot="1">
      <c r="A137" s="110" t="str">
        <f>IF(Picks!A137="","",Picks!A137)</f>
        <v>Steve Carter</v>
      </c>
      <c r="B137" s="105" t="str">
        <f>IF(Picks!E137="","",Picks!E137)</f>
        <v>Croatia</v>
      </c>
      <c r="C137" s="518">
        <f>IF(Picks!F137="","",Picks!F137)</f>
        <v>7</v>
      </c>
      <c r="D137" s="106">
        <f>IF(Picks!G137="","",Picks!G137)</f>
        <v>2.15</v>
      </c>
      <c r="E137" s="107" t="str">
        <f>IF(Picks!H137="","",Picks!H137)</f>
        <v>√</v>
      </c>
      <c r="F137" s="108">
        <f>IF(Picks!I137="","",Picks!I137)</f>
        <v>2.7100000000000009</v>
      </c>
      <c r="G137" s="109">
        <f>IF(Picks!J137="","",Picks!J137)</f>
        <v>40.195</v>
      </c>
    </row>
    <row r="138" spans="1:7" ht="13.15">
      <c r="A138" s="110"/>
      <c r="B138" s="59" t="str">
        <f>IF(Picks!E138="","",Picks!E138)</f>
        <v>Spain</v>
      </c>
      <c r="C138" s="518">
        <f>IF(Picks!F138="","",Picks!F138)</f>
        <v>7</v>
      </c>
      <c r="D138" s="44">
        <f>IF(Picks!G138="","",Picks!G138)</f>
        <v>2.4</v>
      </c>
      <c r="E138" s="79" t="str">
        <f>IF(Picks!H138="","",Picks!H138)</f>
        <v>√</v>
      </c>
      <c r="F138" s="127" t="str">
        <f>IF(Picks!I138="","",Picks!I138)</f>
        <v/>
      </c>
      <c r="G138" s="44" t="str">
        <f>IF(Picks!J138="","",Picks!J138)</f>
        <v/>
      </c>
    </row>
    <row r="139" spans="1:7" ht="13.5" thickBot="1">
      <c r="A139" s="128"/>
      <c r="B139" s="123" t="str">
        <f>IF(Picks!E139="","",Picks!E139)</f>
        <v>Gibraltar</v>
      </c>
      <c r="C139" s="519">
        <f>IF(Picks!F139="","",Picks!F139)</f>
        <v>1</v>
      </c>
      <c r="D139" s="124">
        <f>IF(Picks!G139="","",Picks!G139)</f>
        <v>3.5</v>
      </c>
      <c r="E139" s="79" t="str">
        <f>IF(Picks!H139="","",Picks!H139)</f>
        <v>x</v>
      </c>
      <c r="F139" s="127" t="str">
        <f>IF(Picks!I139="","",Picks!I139)</f>
        <v/>
      </c>
      <c r="G139" s="44" t="str">
        <f>IF(Picks!J139="","",Picks!J139)</f>
        <v/>
      </c>
    </row>
    <row r="140" spans="1:7" ht="13.9" thickTop="1" thickBot="1">
      <c r="A140" s="110" t="str">
        <f>IF(Picks!A140="","",Picks!A140)</f>
        <v>Steve Waterhouse</v>
      </c>
      <c r="B140" s="105" t="str">
        <f>IF(Picks!E140="","",Picks!E140)</f>
        <v>Cambridge</v>
      </c>
      <c r="C140" s="518">
        <f>IF(Picks!F140="","",Picks!F140)</f>
        <v>7</v>
      </c>
      <c r="D140" s="106">
        <f>IF(Picks!G140="","",Picks!G140)</f>
        <v>1.8</v>
      </c>
      <c r="E140" s="107" t="str">
        <f>IF(Picks!H140="","",Picks!H140)</f>
        <v>x</v>
      </c>
      <c r="F140" s="108">
        <f>IF(Picks!I140="","",Picks!I140)</f>
        <v>-5.6363636363636367</v>
      </c>
      <c r="G140" s="109">
        <f>IF(Picks!J140="","",Picks!J140)</f>
        <v>10.530909090909091</v>
      </c>
    </row>
    <row r="141" spans="1:7" ht="13.15">
      <c r="A141" s="110"/>
      <c r="B141" s="59" t="str">
        <f>IF(Picks!E141="","",Picks!E141)</f>
        <v>Grimsby</v>
      </c>
      <c r="C141" s="518">
        <f>IF(Picks!F141="","",Picks!F141)</f>
        <v>7</v>
      </c>
      <c r="D141" s="44">
        <f>IF(Picks!G141="","",Picks!G141)</f>
        <v>1.8</v>
      </c>
      <c r="E141" s="79" t="str">
        <f>IF(Picks!H141="","",Picks!H141)</f>
        <v>x</v>
      </c>
      <c r="F141" s="127" t="str">
        <f>IF(Picks!I141="","",Picks!I141)</f>
        <v/>
      </c>
      <c r="G141" s="44" t="str">
        <f>IF(Picks!J141="","",Picks!J141)</f>
        <v/>
      </c>
    </row>
    <row r="142" spans="1:7" ht="13.5" thickBot="1">
      <c r="A142" s="128"/>
      <c r="B142" s="123" t="str">
        <f>IF(Picks!E142="","",Picks!E142)</f>
        <v>Stockport</v>
      </c>
      <c r="C142" s="519">
        <f>IF(Picks!F142="","",Picks!F142)</f>
        <v>7</v>
      </c>
      <c r="D142" s="124">
        <f>IF(Picks!G142="","",Picks!G142)</f>
        <v>1.3636363636363638</v>
      </c>
      <c r="E142" s="79" t="str">
        <f>IF(Picks!H142="","",Picks!H142)</f>
        <v>√</v>
      </c>
      <c r="F142" s="127" t="str">
        <f>IF(Picks!I142="","",Picks!I142)</f>
        <v/>
      </c>
      <c r="G142" s="44" t="str">
        <f>IF(Picks!J142="","",Picks!J142)</f>
        <v/>
      </c>
    </row>
    <row r="143" spans="1:7" ht="13.9" thickTop="1" thickBot="1">
      <c r="A143" s="110" t="str">
        <f>IF(Picks!A143="","",Picks!A143)</f>
        <v>Steven Naylor</v>
      </c>
      <c r="B143" s="105" t="str">
        <f>IF(Picks!E143="","",Picks!E143)</f>
        <v>Grimsby</v>
      </c>
      <c r="C143" s="518">
        <f>IF(Picks!F143="","",Picks!F143)</f>
        <v>7</v>
      </c>
      <c r="D143" s="106">
        <f>IF(Picks!G143="","",Picks!G143)</f>
        <v>1.8</v>
      </c>
      <c r="E143" s="107" t="str">
        <f>IF(Picks!H143="","",Picks!H143)</f>
        <v>x</v>
      </c>
      <c r="F143" s="108">
        <f>IF(Picks!I143="","",Picks!I143)</f>
        <v>-0.875</v>
      </c>
      <c r="G143" s="109">
        <f>IF(Picks!J143="","",Picks!J143)</f>
        <v>11.950000000000003</v>
      </c>
    </row>
    <row r="144" spans="1:7" ht="13.15">
      <c r="A144" s="110"/>
      <c r="B144" s="59" t="str">
        <f>IF(Picks!E144="","",Picks!E144)</f>
        <v>Salford</v>
      </c>
      <c r="C144" s="518">
        <f>IF(Picks!F144="","",Picks!F144)</f>
        <v>7</v>
      </c>
      <c r="D144" s="44">
        <f>IF(Picks!G144="","",Picks!G144)</f>
        <v>1.85</v>
      </c>
      <c r="E144" s="79" t="str">
        <f>IF(Picks!H144="","",Picks!H144)</f>
        <v>√</v>
      </c>
      <c r="F144" s="127" t="str">
        <f>IF(Picks!I144="","",Picks!I144)</f>
        <v/>
      </c>
      <c r="G144" s="44" t="str">
        <f>IF(Picks!J144="","",Picks!J144)</f>
        <v/>
      </c>
    </row>
    <row r="145" spans="1:7" ht="13.5" thickBot="1">
      <c r="A145" s="128"/>
      <c r="B145" s="123" t="str">
        <f>IF(Picks!E145="","",Picks!E145)</f>
        <v>York</v>
      </c>
      <c r="C145" s="519">
        <f>IF(Picks!F145="","",Picks!F145)</f>
        <v>7</v>
      </c>
      <c r="D145" s="124">
        <f>IF(Picks!G145="","",Picks!G145)</f>
        <v>1.5</v>
      </c>
      <c r="E145" s="688" t="str">
        <f>IF(Picks!H145="","",Picks!H145)</f>
        <v>√</v>
      </c>
      <c r="F145" s="689" t="str">
        <f>IF(Picks!I145="","",Picks!I145)</f>
        <v/>
      </c>
      <c r="G145" s="124" t="str">
        <f>IF(Picks!J145="","",Picks!J145)</f>
        <v/>
      </c>
    </row>
    <row r="146" spans="1:7" ht="13.9" thickTop="1" thickBot="1">
      <c r="A146" s="110" t="str">
        <f>IF(Picks!A146="","",Picks!A146)</f>
        <v>Tom Robinson</v>
      </c>
      <c r="B146" s="105" t="str">
        <f>IF(Picks!E146="","",Picks!E146)</f>
        <v>Fleetwood</v>
      </c>
      <c r="C146" s="518">
        <f>IF(Picks!F146="","",Picks!F146)</f>
        <v>7</v>
      </c>
      <c r="D146" s="106">
        <f>IF(Picks!G146="","",Picks!G146)</f>
        <v>1.85</v>
      </c>
      <c r="E146" s="107" t="str">
        <f>IF(Picks!H146="","",Picks!H146)</f>
        <v>x</v>
      </c>
      <c r="F146" s="108">
        <f>IF(Picks!I146="","",Picks!I146)</f>
        <v>2.25</v>
      </c>
      <c r="G146" s="109">
        <f>IF(Picks!J146="","",Picks!J146)</f>
        <v>21.212499999999999</v>
      </c>
    </row>
    <row r="147" spans="1:7" ht="13.15">
      <c r="A147" s="110"/>
      <c r="B147" s="59" t="str">
        <f>IF(Picks!E147="","",Picks!E147)</f>
        <v>Tranmere draw</v>
      </c>
      <c r="C147" s="518">
        <f>IF(Picks!F147="","",Picks!F147)</f>
        <v>7</v>
      </c>
      <c r="D147" s="44">
        <f>IF(Picks!G147="","",Picks!G147)</f>
        <v>3.1</v>
      </c>
      <c r="E147" s="79" t="str">
        <f>IF(Picks!H147="","",Picks!H147)</f>
        <v>√</v>
      </c>
      <c r="F147" s="127" t="str">
        <f>IF(Picks!I147="","",Picks!I147)</f>
        <v/>
      </c>
      <c r="G147" s="44" t="str">
        <f>IF(Picks!J147="","",Picks!J147)</f>
        <v/>
      </c>
    </row>
    <row r="148" spans="1:7" ht="13.5" thickBot="1">
      <c r="A148" s="128"/>
      <c r="B148" s="123" t="str">
        <f>IF(Picks!E148="","",Picks!E148)</f>
        <v>York</v>
      </c>
      <c r="C148" s="519">
        <f>IF(Picks!F148="","",Picks!F148)</f>
        <v>7</v>
      </c>
      <c r="D148" s="124">
        <f>IF(Picks!G148="","",Picks!G148)</f>
        <v>1.5</v>
      </c>
      <c r="E148" s="688" t="str">
        <f>IF(Picks!H148="","",Picks!H148)</f>
        <v>√</v>
      </c>
      <c r="F148" s="689" t="str">
        <f>IF(Picks!I148="","",Picks!I148)</f>
        <v/>
      </c>
      <c r="G148" s="124" t="str">
        <f>IF(Picks!J148="","",Picks!J148)</f>
        <v/>
      </c>
    </row>
    <row r="149" spans="1:7" ht="13.9" thickTop="1" thickBot="1">
      <c r="A149" s="110" t="str">
        <f>IF(Picks!A149="","",Picks!A149)</f>
        <v>Vinny Topping</v>
      </c>
      <c r="B149" s="105" t="str">
        <f>IF(Picks!E149="","",Picks!E149)</f>
        <v>Bristol R</v>
      </c>
      <c r="C149" s="518">
        <f>IF(Picks!F149="","",Picks!F149)</f>
        <v>7</v>
      </c>
      <c r="D149" s="106">
        <f>IF(Picks!G149="","",Picks!G149)</f>
        <v>1.7272727272727273</v>
      </c>
      <c r="E149" s="107" t="str">
        <f>IF(Picks!H149="","",Picks!H149)</f>
        <v>√</v>
      </c>
      <c r="F149" s="108">
        <f>IF(Picks!I149="","",Picks!I149)</f>
        <v>-5.2727272727272725</v>
      </c>
      <c r="G149" s="109">
        <f>IF(Picks!J149="","",Picks!J149)</f>
        <v>15.706818181818178</v>
      </c>
    </row>
    <row r="150" spans="1:7" ht="13.15">
      <c r="A150" s="110"/>
      <c r="B150" s="59" t="str">
        <f>IF(Picks!E150="","",Picks!E150)</f>
        <v>Fleetwood</v>
      </c>
      <c r="C150" s="518">
        <f>IF(Picks!F150="","",Picks!F150)</f>
        <v>7</v>
      </c>
      <c r="D150" s="44">
        <f>IF(Picks!G150="","",Picks!G150)</f>
        <v>1.85</v>
      </c>
      <c r="E150" s="79" t="str">
        <f>IF(Picks!H150="","",Picks!H150)</f>
        <v>x</v>
      </c>
      <c r="F150" s="127" t="str">
        <f>IF(Picks!I150="","",Picks!I150)</f>
        <v/>
      </c>
      <c r="G150" s="44" t="str">
        <f>IF(Picks!J150="","",Picks!J150)</f>
        <v/>
      </c>
    </row>
    <row r="151" spans="1:7" ht="13.5" thickBot="1">
      <c r="A151" s="128"/>
      <c r="B151" s="123" t="str">
        <f>IF(Picks!E151="","",Picks!E151)</f>
        <v>Swindon</v>
      </c>
      <c r="C151" s="519">
        <f>IF(Picks!F151="","",Picks!F151)</f>
        <v>7</v>
      </c>
      <c r="D151" s="124">
        <f>IF(Picks!G151="","",Picks!G151)</f>
        <v>2.0499999999999998</v>
      </c>
      <c r="E151" s="688" t="str">
        <f>IF(Picks!H151="","",Picks!H151)</f>
        <v>x</v>
      </c>
      <c r="F151" s="689" t="str">
        <f>IF(Picks!I151="","",Picks!I151)</f>
        <v/>
      </c>
      <c r="G151" s="124" t="str">
        <f>IF(Picks!J151="","",Picks!J151)</f>
        <v/>
      </c>
    </row>
    <row r="152" spans="1:7" ht="13.15" thickTop="1"/>
  </sheetData>
  <hyperlinks>
    <hyperlink ref="A1" location="Menu!A1" display="Menu!A1" xr:uid="{00000000-0004-0000-0500-000000000000}"/>
  </hyperlinks>
  <pageMargins left="0.70866141732283472" right="0.70866141732283472" top="1.1659375000000001" bottom="0.74803149606299213" header="0.31496062992125984" footer="0.31496062992125984"/>
  <pageSetup paperSize="9" scale="85" fitToHeight="10" orientation="portrait" r:id="rId1"/>
  <headerFooter>
    <oddHeader>&amp;L&amp;G&amp;R&amp;24&amp;K7030A0Predictions</oddHeader>
  </headerFooter>
  <legacyDrawingHF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0">
    <tabColor rgb="FF7030A0"/>
    <pageSetUpPr fitToPage="1"/>
  </sheetPr>
  <dimension ref="A1:V48"/>
  <sheetViews>
    <sheetView workbookViewId="0">
      <pane ySplit="4" topLeftCell="A5" activePane="bottomLeft" state="frozen"/>
      <selection pane="bottomLeft" activeCell="B23" sqref="B23"/>
    </sheetView>
  </sheetViews>
  <sheetFormatPr defaultRowHeight="12.75"/>
  <cols>
    <col min="1" max="1" width="6.265625" style="536" customWidth="1"/>
    <col min="2" max="2" width="18.86328125" style="4" customWidth="1"/>
    <col min="3" max="3" width="12.86328125" style="16" customWidth="1"/>
    <col min="4" max="4" width="13.73046875" style="16" customWidth="1"/>
    <col min="5" max="5" width="17.59765625" style="16" customWidth="1"/>
    <col min="6" max="7" width="20.59765625" customWidth="1"/>
    <col min="8" max="8" width="6.59765625" customWidth="1"/>
    <col min="9" max="9" width="20.59765625" customWidth="1"/>
    <col min="10" max="10" width="6.59765625" customWidth="1"/>
    <col min="11" max="11" width="20.59765625" customWidth="1"/>
    <col min="12" max="12" width="6.59765625" customWidth="1"/>
  </cols>
  <sheetData>
    <row r="1" spans="1:22">
      <c r="A1" s="534">
        <v>38</v>
      </c>
      <c r="B1" s="310">
        <v>2021</v>
      </c>
      <c r="C1" s="452" t="s">
        <v>483</v>
      </c>
      <c r="D1" s="452"/>
      <c r="E1" s="140"/>
      <c r="F1" s="140"/>
      <c r="G1" s="140"/>
      <c r="H1" s="140"/>
      <c r="I1" s="140"/>
      <c r="J1" s="140"/>
      <c r="K1" s="140"/>
      <c r="L1" s="140"/>
      <c r="M1" s="76"/>
      <c r="N1" s="76"/>
      <c r="O1" s="76"/>
      <c r="P1" s="76"/>
      <c r="Q1" s="76"/>
      <c r="R1" s="76"/>
      <c r="S1" s="76"/>
    </row>
    <row r="2" spans="1:22">
      <c r="A2" s="535"/>
      <c r="B2" s="77"/>
      <c r="C2" s="140"/>
      <c r="D2" s="140"/>
      <c r="E2" s="140"/>
      <c r="F2" s="140"/>
      <c r="G2" s="140"/>
      <c r="H2" s="140"/>
      <c r="I2" s="140"/>
      <c r="J2" s="140"/>
      <c r="K2" s="140"/>
      <c r="L2" s="140"/>
      <c r="M2" s="76"/>
      <c r="N2" s="76"/>
      <c r="O2" s="76"/>
      <c r="P2" s="76"/>
      <c r="Q2" s="76"/>
      <c r="R2" s="76"/>
      <c r="S2" s="76"/>
    </row>
    <row r="3" spans="1:22" ht="35.1" customHeight="1">
      <c r="A3" s="535"/>
      <c r="B3" s="746" t="str">
        <f>CONCATENATE(CurrentSeason," - ",SeasonTitle)</f>
        <v>PL48 - Autumn 26</v>
      </c>
      <c r="C3" s="747"/>
      <c r="D3" s="747"/>
      <c r="E3" s="747"/>
      <c r="F3" s="748"/>
      <c r="G3" s="139"/>
      <c r="H3" s="139"/>
      <c r="I3" s="139"/>
      <c r="J3" s="139"/>
      <c r="L3" s="139"/>
      <c r="M3" s="76"/>
      <c r="N3" s="76"/>
      <c r="O3" s="76"/>
      <c r="P3" s="76"/>
      <c r="Q3" s="76"/>
      <c r="R3" s="76"/>
    </row>
    <row r="4" spans="1:22" s="203" customFormat="1" ht="29.85" customHeight="1">
      <c r="A4" s="535"/>
      <c r="B4" s="462" t="s">
        <v>490</v>
      </c>
      <c r="C4" s="424" t="s">
        <v>460</v>
      </c>
      <c r="D4" s="424" t="s">
        <v>492</v>
      </c>
      <c r="E4" s="424" t="s">
        <v>493</v>
      </c>
      <c r="F4" s="425" t="s">
        <v>494</v>
      </c>
      <c r="G4" s="584" t="s">
        <v>504</v>
      </c>
      <c r="H4" s="584" t="s">
        <v>502</v>
      </c>
      <c r="I4" s="584" t="s">
        <v>501</v>
      </c>
      <c r="J4" s="584" t="s">
        <v>502</v>
      </c>
      <c r="K4" s="584" t="s">
        <v>505</v>
      </c>
      <c r="L4" s="584" t="s">
        <v>502</v>
      </c>
      <c r="M4" s="137"/>
      <c r="N4" s="137"/>
      <c r="O4" s="137"/>
      <c r="P4" s="137"/>
      <c r="Q4" s="137"/>
    </row>
    <row r="5" spans="1:22" ht="20.100000000000001" customHeight="1">
      <c r="A5" s="535"/>
      <c r="B5" s="562">
        <v>46256</v>
      </c>
      <c r="C5" s="563">
        <v>1</v>
      </c>
      <c r="D5" s="563"/>
      <c r="E5" s="564"/>
      <c r="F5" s="564" t="s">
        <v>513</v>
      </c>
      <c r="G5" s="583">
        <f>B5-12</f>
        <v>46244</v>
      </c>
      <c r="H5" s="583" t="s">
        <v>503</v>
      </c>
      <c r="I5" s="583">
        <f>B5-7</f>
        <v>46249</v>
      </c>
      <c r="J5" s="583" t="s">
        <v>503</v>
      </c>
      <c r="K5" s="583">
        <f>B5-5</f>
        <v>46251</v>
      </c>
      <c r="L5" s="583" t="s">
        <v>503</v>
      </c>
      <c r="M5" s="76"/>
      <c r="N5" s="76"/>
      <c r="O5" s="76"/>
      <c r="P5" s="76"/>
      <c r="Q5" s="76"/>
      <c r="V5" t="s">
        <v>420</v>
      </c>
    </row>
    <row r="6" spans="1:22" ht="20.100000000000001" customHeight="1">
      <c r="A6" s="535"/>
      <c r="B6" s="562">
        <v>46263</v>
      </c>
      <c r="C6" s="563">
        <v>2</v>
      </c>
      <c r="D6" s="563"/>
      <c r="E6" s="564" t="s">
        <v>515</v>
      </c>
      <c r="F6" s="564" t="s">
        <v>513</v>
      </c>
      <c r="G6" s="583">
        <f t="shared" ref="G6:G24" si="0">B6-12</f>
        <v>46251</v>
      </c>
      <c r="H6" s="583" t="s">
        <v>503</v>
      </c>
      <c r="I6" s="583">
        <f t="shared" ref="I6:I24" si="1">B6-7</f>
        <v>46256</v>
      </c>
      <c r="J6" s="583" t="s">
        <v>503</v>
      </c>
      <c r="K6" s="583">
        <f t="shared" ref="K6:K24" si="2">B6-5</f>
        <v>46258</v>
      </c>
      <c r="L6" s="583" t="s">
        <v>503</v>
      </c>
      <c r="M6" s="76"/>
      <c r="N6" s="76"/>
      <c r="O6" s="76"/>
      <c r="P6" s="76"/>
      <c r="Q6" s="76"/>
      <c r="V6" t="s">
        <v>412</v>
      </c>
    </row>
    <row r="7" spans="1:22" ht="20.100000000000001" customHeight="1">
      <c r="A7" s="535"/>
      <c r="B7" s="562">
        <v>46270</v>
      </c>
      <c r="C7" s="565">
        <v>3</v>
      </c>
      <c r="D7" s="565"/>
      <c r="E7" s="564" t="s">
        <v>131</v>
      </c>
      <c r="F7" s="564" t="s">
        <v>513</v>
      </c>
      <c r="G7" s="583">
        <f t="shared" si="0"/>
        <v>46258</v>
      </c>
      <c r="H7" s="583" t="s">
        <v>503</v>
      </c>
      <c r="I7" s="583">
        <f t="shared" si="1"/>
        <v>46263</v>
      </c>
      <c r="J7" s="583" t="s">
        <v>503</v>
      </c>
      <c r="K7" s="583">
        <f t="shared" si="2"/>
        <v>46265</v>
      </c>
      <c r="L7" s="583" t="s">
        <v>503</v>
      </c>
      <c r="M7" s="76"/>
      <c r="N7" s="76"/>
      <c r="O7" s="76"/>
      <c r="P7" s="76"/>
      <c r="Q7" s="76"/>
      <c r="V7" t="s">
        <v>413</v>
      </c>
    </row>
    <row r="8" spans="1:22" ht="20.100000000000001" customHeight="1">
      <c r="A8" s="535"/>
      <c r="B8" s="562">
        <v>46277</v>
      </c>
      <c r="C8" s="563">
        <v>4</v>
      </c>
      <c r="D8" s="563"/>
      <c r="E8" s="566"/>
      <c r="F8" s="564" t="s">
        <v>513</v>
      </c>
      <c r="G8" s="583">
        <f t="shared" si="0"/>
        <v>46265</v>
      </c>
      <c r="H8" s="583" t="s">
        <v>503</v>
      </c>
      <c r="I8" s="583">
        <f t="shared" si="1"/>
        <v>46270</v>
      </c>
      <c r="J8" s="583" t="s">
        <v>503</v>
      </c>
      <c r="K8" s="583">
        <f t="shared" si="2"/>
        <v>46272</v>
      </c>
      <c r="L8" s="583" t="s">
        <v>503</v>
      </c>
      <c r="M8" s="76"/>
      <c r="N8" s="76"/>
      <c r="O8" s="76"/>
      <c r="P8" s="76"/>
      <c r="Q8" s="76"/>
      <c r="V8" t="s">
        <v>432</v>
      </c>
    </row>
    <row r="9" spans="1:22" ht="20.100000000000001" customHeight="1">
      <c r="A9" s="535"/>
      <c r="B9" s="562">
        <v>46284</v>
      </c>
      <c r="C9" s="690">
        <v>5</v>
      </c>
      <c r="D9" s="563"/>
      <c r="E9" s="564" t="s">
        <v>132</v>
      </c>
      <c r="F9" s="564" t="s">
        <v>513</v>
      </c>
      <c r="G9" s="583">
        <f t="shared" si="0"/>
        <v>46272</v>
      </c>
      <c r="H9" s="583" t="s">
        <v>503</v>
      </c>
      <c r="I9" s="583">
        <f t="shared" si="1"/>
        <v>46277</v>
      </c>
      <c r="J9" s="583" t="s">
        <v>503</v>
      </c>
      <c r="K9" s="583">
        <f t="shared" si="2"/>
        <v>46279</v>
      </c>
      <c r="L9" s="583" t="s">
        <v>503</v>
      </c>
      <c r="M9" s="76"/>
      <c r="N9" s="76"/>
      <c r="O9" s="76"/>
      <c r="P9" s="76"/>
      <c r="Q9" s="76"/>
    </row>
    <row r="10" spans="1:22" ht="20.100000000000001" customHeight="1">
      <c r="A10" s="535"/>
      <c r="B10" s="562">
        <v>46291</v>
      </c>
      <c r="C10" s="690">
        <v>6</v>
      </c>
      <c r="D10" s="563"/>
      <c r="E10" s="564" t="s">
        <v>133</v>
      </c>
      <c r="F10" s="564" t="s">
        <v>413</v>
      </c>
      <c r="G10" s="583">
        <f t="shared" si="0"/>
        <v>46279</v>
      </c>
      <c r="H10" s="583" t="s">
        <v>503</v>
      </c>
      <c r="I10" s="583">
        <f t="shared" si="1"/>
        <v>46284</v>
      </c>
      <c r="J10" s="583" t="s">
        <v>503</v>
      </c>
      <c r="K10" s="583">
        <f t="shared" si="2"/>
        <v>46286</v>
      </c>
      <c r="L10" s="583" t="s">
        <v>503</v>
      </c>
      <c r="M10" s="76"/>
      <c r="N10" s="76"/>
      <c r="O10" s="76"/>
      <c r="P10" s="76"/>
      <c r="Q10" s="76"/>
    </row>
    <row r="11" spans="1:22" ht="20.100000000000001" customHeight="1">
      <c r="A11" s="535"/>
      <c r="B11" s="562">
        <v>46305</v>
      </c>
      <c r="C11" s="690">
        <v>7</v>
      </c>
      <c r="D11" s="563"/>
      <c r="E11" s="564"/>
      <c r="F11" s="564" t="s">
        <v>513</v>
      </c>
      <c r="G11" s="583">
        <f t="shared" si="0"/>
        <v>46293</v>
      </c>
      <c r="H11" s="583" t="s">
        <v>503</v>
      </c>
      <c r="I11" s="583">
        <f t="shared" si="1"/>
        <v>46298</v>
      </c>
      <c r="J11" s="583" t="s">
        <v>503</v>
      </c>
      <c r="K11" s="583">
        <f t="shared" si="2"/>
        <v>46300</v>
      </c>
      <c r="L11" s="583" t="s">
        <v>503</v>
      </c>
      <c r="M11" s="76"/>
      <c r="N11" s="76"/>
      <c r="O11" s="76"/>
      <c r="P11" s="76"/>
      <c r="Q11" s="76"/>
    </row>
    <row r="12" spans="1:22" ht="20.100000000000001" customHeight="1">
      <c r="A12" s="535"/>
      <c r="B12" s="562">
        <v>46312</v>
      </c>
      <c r="C12" s="690">
        <v>8</v>
      </c>
      <c r="D12" s="563"/>
      <c r="E12" s="564" t="s">
        <v>134</v>
      </c>
      <c r="F12" s="564" t="s">
        <v>513</v>
      </c>
      <c r="G12" s="583">
        <f t="shared" si="0"/>
        <v>46300</v>
      </c>
      <c r="H12" s="583" t="s">
        <v>503</v>
      </c>
      <c r="I12" s="583">
        <f t="shared" si="1"/>
        <v>46305</v>
      </c>
      <c r="J12" s="583" t="s">
        <v>503</v>
      </c>
      <c r="K12" s="583">
        <f t="shared" si="2"/>
        <v>46307</v>
      </c>
      <c r="L12" s="583" t="s">
        <v>503</v>
      </c>
      <c r="M12" s="76"/>
      <c r="N12" s="76"/>
      <c r="O12" s="76"/>
      <c r="P12" s="76"/>
      <c r="Q12" s="76"/>
    </row>
    <row r="13" spans="1:22" ht="20.100000000000001" customHeight="1">
      <c r="A13" s="535"/>
      <c r="B13" s="562">
        <v>46319</v>
      </c>
      <c r="C13" s="691">
        <v>9</v>
      </c>
      <c r="D13" s="565"/>
      <c r="E13" s="564" t="s">
        <v>135</v>
      </c>
      <c r="F13" s="564" t="s">
        <v>513</v>
      </c>
      <c r="G13" s="583">
        <f t="shared" si="0"/>
        <v>46307</v>
      </c>
      <c r="H13" s="583" t="s">
        <v>503</v>
      </c>
      <c r="I13" s="583">
        <f t="shared" si="1"/>
        <v>46312</v>
      </c>
      <c r="J13" s="583" t="s">
        <v>503</v>
      </c>
      <c r="K13" s="583">
        <f t="shared" si="2"/>
        <v>46314</v>
      </c>
      <c r="L13" s="583" t="s">
        <v>503</v>
      </c>
      <c r="M13" s="76"/>
      <c r="N13" s="76"/>
      <c r="O13" s="76"/>
      <c r="P13" s="76"/>
      <c r="Q13" s="76"/>
    </row>
    <row r="14" spans="1:22" ht="20.100000000000001" customHeight="1">
      <c r="A14" s="535"/>
      <c r="B14" s="562">
        <v>46326</v>
      </c>
      <c r="C14" s="690">
        <v>10</v>
      </c>
      <c r="D14" s="563"/>
      <c r="E14" s="564"/>
      <c r="F14" s="564" t="s">
        <v>513</v>
      </c>
      <c r="G14" s="583">
        <f t="shared" si="0"/>
        <v>46314</v>
      </c>
      <c r="H14" s="583" t="s">
        <v>503</v>
      </c>
      <c r="I14" s="583">
        <f t="shared" si="1"/>
        <v>46319</v>
      </c>
      <c r="J14" s="583" t="s">
        <v>503</v>
      </c>
      <c r="K14" s="583">
        <f t="shared" si="2"/>
        <v>46321</v>
      </c>
      <c r="L14" s="583" t="s">
        <v>503</v>
      </c>
      <c r="M14" s="76"/>
      <c r="N14" s="76"/>
      <c r="O14" s="76"/>
      <c r="P14" s="76"/>
      <c r="Q14" s="76"/>
    </row>
    <row r="15" spans="1:22" ht="20.100000000000001" customHeight="1">
      <c r="A15" s="535"/>
      <c r="B15" s="562">
        <v>46333</v>
      </c>
      <c r="C15" s="690">
        <v>11</v>
      </c>
      <c r="D15" s="563" t="s">
        <v>224</v>
      </c>
      <c r="E15" s="564"/>
      <c r="F15" s="564" t="s">
        <v>513</v>
      </c>
      <c r="G15" s="583">
        <f t="shared" si="0"/>
        <v>46321</v>
      </c>
      <c r="H15" s="583" t="s">
        <v>503</v>
      </c>
      <c r="I15" s="583">
        <f t="shared" si="1"/>
        <v>46326</v>
      </c>
      <c r="J15" s="583" t="s">
        <v>503</v>
      </c>
      <c r="K15" s="583">
        <f t="shared" si="2"/>
        <v>46328</v>
      </c>
      <c r="L15" s="583" t="s">
        <v>503</v>
      </c>
      <c r="M15" s="76"/>
      <c r="N15" s="76"/>
      <c r="O15" s="76"/>
      <c r="P15" s="76"/>
      <c r="Q15" s="76"/>
    </row>
    <row r="16" spans="1:22" ht="20.100000000000001" customHeight="1">
      <c r="A16" s="535"/>
      <c r="B16" s="562">
        <v>46333</v>
      </c>
      <c r="C16" s="690">
        <v>12</v>
      </c>
      <c r="D16" s="563" t="s">
        <v>224</v>
      </c>
      <c r="E16" s="564" t="s">
        <v>542</v>
      </c>
      <c r="F16" s="564" t="s">
        <v>543</v>
      </c>
      <c r="G16" s="583">
        <f t="shared" si="0"/>
        <v>46321</v>
      </c>
      <c r="H16" s="583" t="s">
        <v>503</v>
      </c>
      <c r="I16" s="583">
        <f t="shared" si="1"/>
        <v>46326</v>
      </c>
      <c r="J16" s="583" t="s">
        <v>503</v>
      </c>
      <c r="K16" s="583">
        <f t="shared" si="2"/>
        <v>46328</v>
      </c>
      <c r="L16" s="583" t="s">
        <v>503</v>
      </c>
      <c r="M16" s="76"/>
      <c r="N16" s="76"/>
      <c r="O16" s="76"/>
      <c r="P16" s="76"/>
      <c r="Q16" s="76"/>
    </row>
    <row r="17" spans="1:17" ht="20.100000000000001" customHeight="1">
      <c r="A17" s="535"/>
      <c r="B17" s="562">
        <v>46340</v>
      </c>
      <c r="C17" s="691">
        <v>13</v>
      </c>
      <c r="D17" s="565"/>
      <c r="E17" s="564" t="s">
        <v>544</v>
      </c>
      <c r="F17" s="564" t="s">
        <v>413</v>
      </c>
      <c r="G17" s="583">
        <f t="shared" si="0"/>
        <v>46328</v>
      </c>
      <c r="H17" s="583" t="s">
        <v>503</v>
      </c>
      <c r="I17" s="583">
        <f t="shared" si="1"/>
        <v>46333</v>
      </c>
      <c r="J17" s="583" t="s">
        <v>503</v>
      </c>
      <c r="K17" s="583">
        <f t="shared" si="2"/>
        <v>46335</v>
      </c>
      <c r="L17" s="583"/>
      <c r="M17" s="76"/>
      <c r="N17" s="76"/>
      <c r="O17" s="76"/>
      <c r="P17" s="76"/>
      <c r="Q17" s="76"/>
    </row>
    <row r="18" spans="1:17" ht="20.100000000000001" customHeight="1">
      <c r="A18" s="535"/>
      <c r="B18" s="562">
        <v>46347</v>
      </c>
      <c r="C18" s="690">
        <v>14</v>
      </c>
      <c r="D18" s="563"/>
      <c r="E18" s="564"/>
      <c r="F18" s="564" t="s">
        <v>513</v>
      </c>
      <c r="G18" s="583">
        <f t="shared" si="0"/>
        <v>46335</v>
      </c>
      <c r="H18" s="583" t="s">
        <v>503</v>
      </c>
      <c r="I18" s="583">
        <f t="shared" si="1"/>
        <v>46340</v>
      </c>
      <c r="J18" s="583"/>
      <c r="K18" s="583">
        <f t="shared" si="2"/>
        <v>46342</v>
      </c>
      <c r="L18" s="583"/>
      <c r="M18" s="76"/>
      <c r="N18" s="76"/>
      <c r="O18" s="76"/>
      <c r="P18" s="76"/>
      <c r="Q18" s="76"/>
    </row>
    <row r="19" spans="1:17" ht="20.100000000000001" customHeight="1">
      <c r="A19" s="535"/>
      <c r="B19" s="562">
        <v>46354</v>
      </c>
      <c r="C19" s="690">
        <v>15</v>
      </c>
      <c r="D19" s="563"/>
      <c r="E19" s="564" t="s">
        <v>545</v>
      </c>
      <c r="F19" s="564" t="s">
        <v>513</v>
      </c>
      <c r="G19" s="583">
        <f t="shared" si="0"/>
        <v>46342</v>
      </c>
      <c r="H19" s="583"/>
      <c r="I19" s="583">
        <f t="shared" si="1"/>
        <v>46347</v>
      </c>
      <c r="J19" s="583"/>
      <c r="K19" s="583">
        <f t="shared" si="2"/>
        <v>46349</v>
      </c>
      <c r="L19" s="583"/>
      <c r="M19" s="76"/>
      <c r="N19" s="76"/>
      <c r="O19" s="76"/>
      <c r="P19" s="76"/>
      <c r="Q19" s="76"/>
    </row>
    <row r="20" spans="1:17" ht="20.100000000000001" customHeight="1">
      <c r="A20" s="535"/>
      <c r="B20" s="562">
        <v>46361</v>
      </c>
      <c r="C20" s="690">
        <v>16</v>
      </c>
      <c r="D20" s="563"/>
      <c r="E20" s="564" t="s">
        <v>546</v>
      </c>
      <c r="F20" s="564" t="s">
        <v>543</v>
      </c>
      <c r="G20" s="583">
        <f t="shared" si="0"/>
        <v>46349</v>
      </c>
      <c r="H20" s="583"/>
      <c r="I20" s="583">
        <f t="shared" si="1"/>
        <v>46354</v>
      </c>
      <c r="J20" s="583"/>
      <c r="K20" s="583">
        <f t="shared" si="2"/>
        <v>46356</v>
      </c>
      <c r="L20" s="583"/>
      <c r="M20" s="76"/>
      <c r="N20" s="76"/>
      <c r="O20" s="76"/>
      <c r="P20" s="76"/>
      <c r="Q20" s="76"/>
    </row>
    <row r="21" spans="1:17" ht="20.100000000000001" customHeight="1">
      <c r="A21" s="535"/>
      <c r="B21" s="562">
        <v>46368</v>
      </c>
      <c r="C21" s="690">
        <v>17</v>
      </c>
      <c r="D21" s="563"/>
      <c r="E21" s="564"/>
      <c r="F21" s="564" t="s">
        <v>513</v>
      </c>
      <c r="G21" s="583">
        <f t="shared" si="0"/>
        <v>46356</v>
      </c>
      <c r="H21" s="583"/>
      <c r="I21" s="583">
        <f t="shared" si="1"/>
        <v>46361</v>
      </c>
      <c r="J21" s="583"/>
      <c r="K21" s="583">
        <f t="shared" si="2"/>
        <v>46363</v>
      </c>
      <c r="L21" s="583"/>
      <c r="M21" s="76"/>
      <c r="N21" s="76"/>
      <c r="O21" s="76"/>
      <c r="P21" s="76"/>
      <c r="Q21" s="76"/>
    </row>
    <row r="22" spans="1:17" ht="20.100000000000001" customHeight="1">
      <c r="A22" s="535"/>
      <c r="B22" s="562">
        <v>46375</v>
      </c>
      <c r="C22" s="690">
        <v>18</v>
      </c>
      <c r="D22" s="563"/>
      <c r="E22" s="564" t="s">
        <v>18</v>
      </c>
      <c r="F22" s="564" t="s">
        <v>513</v>
      </c>
      <c r="G22" s="583">
        <f t="shared" si="0"/>
        <v>46363</v>
      </c>
      <c r="H22" s="583"/>
      <c r="I22" s="583">
        <f t="shared" si="1"/>
        <v>46368</v>
      </c>
      <c r="J22" s="583"/>
      <c r="K22" s="583">
        <f t="shared" si="2"/>
        <v>46370</v>
      </c>
      <c r="L22" s="583"/>
      <c r="M22" s="76"/>
      <c r="N22" s="76"/>
      <c r="O22" s="76"/>
      <c r="P22" s="76"/>
      <c r="Q22" s="76"/>
    </row>
    <row r="23" spans="1:17" ht="20.100000000000001" customHeight="1">
      <c r="A23" s="535"/>
      <c r="B23" s="562">
        <v>46382</v>
      </c>
      <c r="C23" s="690">
        <v>19</v>
      </c>
      <c r="D23" s="563" t="s">
        <v>224</v>
      </c>
      <c r="E23" s="564" t="s">
        <v>514</v>
      </c>
      <c r="F23" s="564" t="s">
        <v>513</v>
      </c>
      <c r="G23" s="583">
        <f t="shared" si="0"/>
        <v>46370</v>
      </c>
      <c r="H23" s="583"/>
      <c r="I23" s="583">
        <f t="shared" si="1"/>
        <v>46375</v>
      </c>
      <c r="J23" s="583"/>
      <c r="K23" s="583">
        <f t="shared" si="2"/>
        <v>46377</v>
      </c>
      <c r="L23" s="583"/>
      <c r="M23" s="76"/>
      <c r="N23" s="76"/>
      <c r="O23" s="76"/>
      <c r="P23" s="76"/>
      <c r="Q23" s="76"/>
    </row>
    <row r="24" spans="1:17" ht="20.100000000000001" customHeight="1">
      <c r="A24" s="535"/>
      <c r="B24" s="562">
        <v>46382</v>
      </c>
      <c r="C24" s="563">
        <v>20</v>
      </c>
      <c r="D24" s="563" t="s">
        <v>224</v>
      </c>
      <c r="E24" s="564"/>
      <c r="F24" s="564" t="s">
        <v>513</v>
      </c>
      <c r="G24" s="583">
        <f t="shared" si="0"/>
        <v>46370</v>
      </c>
      <c r="H24" s="583"/>
      <c r="I24" s="583">
        <f t="shared" si="1"/>
        <v>46375</v>
      </c>
      <c r="J24" s="583"/>
      <c r="K24" s="583">
        <f t="shared" si="2"/>
        <v>46377</v>
      </c>
      <c r="L24" s="583"/>
      <c r="M24" s="76"/>
      <c r="N24" s="76"/>
      <c r="O24" s="76"/>
      <c r="P24" s="76"/>
      <c r="Q24" s="76"/>
    </row>
    <row r="25" spans="1:17" ht="20.100000000000001" customHeight="1">
      <c r="A25" s="535"/>
      <c r="B25" s="77"/>
      <c r="C25" s="140"/>
      <c r="D25" s="140"/>
      <c r="E25" s="551" t="s">
        <v>491</v>
      </c>
      <c r="F25" s="552" t="s">
        <v>489</v>
      </c>
      <c r="G25" s="585"/>
      <c r="H25" s="586"/>
      <c r="I25" s="586"/>
      <c r="J25" s="586"/>
      <c r="K25" s="586"/>
      <c r="L25" s="586"/>
      <c r="M25" s="76"/>
      <c r="N25" s="76"/>
      <c r="O25" s="76"/>
      <c r="P25" s="76"/>
      <c r="Q25" s="76"/>
    </row>
    <row r="26" spans="1:17">
      <c r="A26" s="535"/>
      <c r="B26" s="77"/>
      <c r="C26" s="140"/>
      <c r="D26" s="140"/>
      <c r="E26" s="140"/>
      <c r="F26" s="76"/>
      <c r="G26" s="76"/>
      <c r="H26" s="76"/>
      <c r="I26" s="76"/>
      <c r="J26" s="76"/>
      <c r="K26" s="76"/>
      <c r="L26" s="76"/>
      <c r="M26" s="76"/>
      <c r="N26" s="76"/>
      <c r="O26" s="76"/>
      <c r="P26" s="76"/>
      <c r="Q26" s="76"/>
    </row>
    <row r="27" spans="1:17">
      <c r="A27" s="535"/>
      <c r="B27" s="77"/>
      <c r="C27" s="140"/>
      <c r="D27" s="140"/>
      <c r="E27" s="140"/>
      <c r="F27" s="76"/>
      <c r="G27" s="76"/>
      <c r="H27" s="76"/>
      <c r="I27" s="76"/>
      <c r="J27" s="76"/>
      <c r="K27" s="76"/>
      <c r="L27" s="76"/>
      <c r="M27" s="76"/>
      <c r="N27" s="76"/>
      <c r="O27" s="76"/>
      <c r="P27" s="76"/>
      <c r="Q27" s="76"/>
    </row>
    <row r="28" spans="1:17">
      <c r="A28" s="535"/>
      <c r="B28" s="77"/>
      <c r="C28" s="140"/>
      <c r="D28" s="140"/>
      <c r="E28" s="140"/>
      <c r="F28" s="76"/>
      <c r="G28" s="76"/>
      <c r="H28" s="76"/>
      <c r="I28" s="76"/>
      <c r="J28" s="76"/>
      <c r="K28" s="76"/>
      <c r="L28" s="76"/>
      <c r="M28" s="76"/>
      <c r="N28" s="76"/>
      <c r="O28" s="76"/>
      <c r="P28" s="76"/>
      <c r="Q28" s="76"/>
    </row>
    <row r="29" spans="1:17">
      <c r="A29" s="535"/>
      <c r="B29" s="77"/>
      <c r="C29" s="140"/>
      <c r="D29" s="140"/>
      <c r="E29" s="140"/>
      <c r="F29" s="76"/>
      <c r="G29" s="76"/>
      <c r="H29" s="76"/>
      <c r="I29" s="76"/>
      <c r="J29" s="76"/>
      <c r="K29" s="76"/>
      <c r="L29" s="76"/>
      <c r="M29" s="76"/>
      <c r="N29" s="76"/>
      <c r="O29" s="76"/>
      <c r="P29" s="76"/>
      <c r="Q29" s="76"/>
    </row>
    <row r="30" spans="1:17">
      <c r="A30" s="535"/>
      <c r="B30" s="77"/>
      <c r="C30" s="140"/>
      <c r="D30" s="140"/>
      <c r="E30" s="140"/>
      <c r="F30" s="76"/>
      <c r="G30" s="76"/>
      <c r="H30" s="76"/>
      <c r="I30" s="76"/>
      <c r="J30" s="76"/>
      <c r="K30" s="76"/>
      <c r="L30" s="76"/>
      <c r="M30" s="76"/>
      <c r="N30" s="76"/>
      <c r="O30" s="76"/>
      <c r="P30" s="76"/>
      <c r="Q30" s="76"/>
    </row>
    <row r="31" spans="1:17">
      <c r="A31" s="535"/>
      <c r="B31" s="77"/>
      <c r="C31" s="140"/>
      <c r="D31" s="140"/>
      <c r="E31" s="140"/>
      <c r="F31" s="76"/>
      <c r="G31" s="76"/>
      <c r="H31" s="76"/>
      <c r="I31" s="76"/>
      <c r="J31" s="76"/>
      <c r="K31" s="76"/>
      <c r="L31" s="76"/>
      <c r="M31" s="76"/>
      <c r="N31" s="76"/>
      <c r="O31" s="76"/>
      <c r="P31" s="76"/>
      <c r="Q31" s="76"/>
    </row>
    <row r="32" spans="1:17">
      <c r="A32" s="535"/>
      <c r="B32" s="77"/>
      <c r="C32" s="140"/>
      <c r="D32" s="140"/>
      <c r="E32" s="140"/>
      <c r="F32" s="76"/>
      <c r="G32" s="76"/>
      <c r="H32" s="76"/>
      <c r="I32" s="76"/>
      <c r="J32" s="76"/>
      <c r="K32" s="76"/>
      <c r="L32" s="76"/>
      <c r="M32" s="76"/>
      <c r="N32" s="76"/>
      <c r="O32" s="76"/>
      <c r="P32" s="76"/>
      <c r="Q32" s="76"/>
    </row>
    <row r="33" spans="1:17">
      <c r="A33" s="535"/>
      <c r="B33" s="77"/>
      <c r="C33" s="140"/>
      <c r="D33" s="140"/>
      <c r="E33" s="140"/>
      <c r="F33" s="76"/>
      <c r="G33" s="76"/>
      <c r="H33" s="76"/>
      <c r="I33" s="76"/>
      <c r="J33" s="76"/>
      <c r="K33" s="76"/>
      <c r="L33" s="76"/>
      <c r="M33" s="76"/>
      <c r="N33" s="76"/>
      <c r="O33" s="76"/>
      <c r="P33" s="76"/>
      <c r="Q33" s="76"/>
    </row>
    <row r="34" spans="1:17">
      <c r="A34" s="535"/>
      <c r="B34" s="77"/>
      <c r="C34" s="140"/>
      <c r="D34" s="140"/>
      <c r="E34" s="140"/>
      <c r="F34" s="76"/>
      <c r="G34" s="76"/>
      <c r="H34" s="76"/>
      <c r="I34" s="76"/>
      <c r="J34" s="76"/>
      <c r="K34" s="76"/>
      <c r="L34" s="76"/>
      <c r="M34" s="76"/>
      <c r="N34" s="76"/>
      <c r="O34" s="76"/>
      <c r="P34" s="76"/>
      <c r="Q34" s="76"/>
    </row>
    <row r="35" spans="1:17">
      <c r="A35" s="535"/>
      <c r="B35" s="77"/>
      <c r="C35" s="140"/>
      <c r="D35" s="140"/>
      <c r="E35" s="140"/>
      <c r="F35" s="76"/>
      <c r="G35" s="76"/>
      <c r="H35" s="76"/>
      <c r="I35" s="76"/>
      <c r="J35" s="76"/>
      <c r="K35" s="76"/>
      <c r="L35" s="76"/>
      <c r="M35" s="76"/>
      <c r="N35" s="76"/>
      <c r="O35" s="76"/>
      <c r="P35" s="76"/>
      <c r="Q35" s="76"/>
    </row>
    <row r="36" spans="1:17">
      <c r="A36" s="535"/>
      <c r="B36" s="77"/>
      <c r="C36" s="140"/>
      <c r="D36" s="140"/>
      <c r="E36" s="140"/>
      <c r="F36" s="76"/>
      <c r="G36" s="76"/>
      <c r="H36" s="76"/>
      <c r="I36" s="76"/>
      <c r="J36" s="76"/>
      <c r="K36" s="76"/>
      <c r="L36" s="76"/>
      <c r="M36" s="76"/>
      <c r="N36" s="76"/>
      <c r="O36" s="76"/>
      <c r="P36" s="76"/>
      <c r="Q36" s="76"/>
    </row>
    <row r="37" spans="1:17">
      <c r="A37" s="535"/>
      <c r="B37" s="77"/>
      <c r="C37" s="140"/>
      <c r="D37" s="140"/>
      <c r="E37" s="140"/>
      <c r="F37" s="76"/>
      <c r="G37" s="76"/>
      <c r="H37" s="76"/>
      <c r="I37" s="76"/>
      <c r="J37" s="76"/>
      <c r="K37" s="76"/>
      <c r="L37" s="76"/>
      <c r="M37" s="76"/>
      <c r="N37" s="76"/>
      <c r="O37" s="76"/>
      <c r="P37" s="76"/>
      <c r="Q37" s="76"/>
    </row>
    <row r="38" spans="1:17">
      <c r="A38" s="535"/>
      <c r="B38" s="77"/>
      <c r="C38" s="140"/>
      <c r="D38" s="140"/>
      <c r="E38" s="140"/>
      <c r="F38" s="76"/>
      <c r="G38" s="76"/>
      <c r="H38" s="76"/>
      <c r="I38" s="76"/>
      <c r="J38" s="76"/>
      <c r="K38" s="76"/>
      <c r="L38" s="76"/>
      <c r="M38" s="76"/>
      <c r="N38" s="76"/>
      <c r="O38" s="76"/>
      <c r="P38" s="76"/>
      <c r="Q38" s="76"/>
    </row>
    <row r="39" spans="1:17">
      <c r="A39" s="535"/>
      <c r="B39" s="77"/>
      <c r="C39" s="140"/>
      <c r="D39" s="140"/>
      <c r="E39" s="140"/>
      <c r="F39" s="76"/>
      <c r="G39" s="76"/>
      <c r="H39" s="76"/>
      <c r="I39" s="76"/>
      <c r="J39" s="76"/>
      <c r="K39" s="76"/>
      <c r="L39" s="76"/>
      <c r="M39" s="76"/>
      <c r="N39" s="76"/>
      <c r="O39" s="76"/>
      <c r="P39" s="76"/>
      <c r="Q39" s="76"/>
    </row>
    <row r="40" spans="1:17">
      <c r="A40" s="535"/>
      <c r="B40" s="77"/>
      <c r="C40" s="140"/>
      <c r="D40" s="140"/>
      <c r="E40" s="140"/>
      <c r="F40" s="76"/>
      <c r="G40" s="76"/>
      <c r="H40" s="76"/>
      <c r="I40" s="76"/>
      <c r="J40" s="76"/>
      <c r="K40" s="76"/>
      <c r="L40" s="76"/>
      <c r="M40" s="76"/>
      <c r="N40" s="76"/>
      <c r="O40" s="76"/>
      <c r="P40" s="76"/>
      <c r="Q40" s="76"/>
    </row>
    <row r="41" spans="1:17">
      <c r="A41" s="535"/>
      <c r="B41" s="77"/>
      <c r="C41" s="140"/>
      <c r="D41" s="140"/>
      <c r="E41" s="140"/>
      <c r="F41" s="76"/>
      <c r="G41" s="76"/>
      <c r="H41" s="76"/>
      <c r="I41" s="76"/>
      <c r="J41" s="76"/>
      <c r="K41" s="76"/>
      <c r="L41" s="76"/>
      <c r="M41" s="76"/>
      <c r="N41" s="76"/>
      <c r="O41" s="76"/>
      <c r="P41" s="76"/>
      <c r="Q41" s="76"/>
    </row>
    <row r="42" spans="1:17">
      <c r="A42" s="535"/>
      <c r="B42" s="77"/>
      <c r="C42" s="140"/>
      <c r="D42" s="140"/>
      <c r="E42" s="140"/>
      <c r="F42" s="76"/>
      <c r="G42" s="76"/>
      <c r="H42" s="76"/>
      <c r="I42" s="76"/>
      <c r="J42" s="76"/>
      <c r="K42" s="76"/>
      <c r="L42" s="76"/>
      <c r="M42" s="76"/>
      <c r="N42" s="76"/>
      <c r="O42" s="76"/>
      <c r="P42" s="76"/>
      <c r="Q42" s="76"/>
    </row>
    <row r="43" spans="1:17">
      <c r="A43" s="535"/>
      <c r="B43" s="77"/>
      <c r="C43" s="140"/>
      <c r="D43" s="140"/>
      <c r="E43" s="140"/>
      <c r="F43" s="76"/>
      <c r="G43" s="76"/>
      <c r="H43" s="76"/>
      <c r="I43" s="76"/>
      <c r="J43" s="76"/>
      <c r="K43" s="76"/>
      <c r="L43" s="76"/>
      <c r="M43" s="76"/>
      <c r="N43" s="76"/>
      <c r="O43" s="76"/>
      <c r="P43" s="76"/>
      <c r="Q43" s="76"/>
    </row>
    <row r="44" spans="1:17">
      <c r="A44" s="535"/>
      <c r="B44" s="77"/>
      <c r="C44" s="140"/>
      <c r="D44" s="140"/>
      <c r="E44" s="140"/>
      <c r="F44" s="76"/>
      <c r="G44" s="76"/>
      <c r="H44" s="76"/>
      <c r="I44" s="76"/>
      <c r="J44" s="76"/>
      <c r="K44" s="76"/>
      <c r="L44" s="76"/>
      <c r="M44" s="76"/>
      <c r="N44" s="76"/>
      <c r="O44" s="76"/>
      <c r="P44" s="76"/>
      <c r="Q44" s="76"/>
    </row>
    <row r="45" spans="1:17">
      <c r="A45" s="535"/>
      <c r="B45" s="77"/>
      <c r="C45" s="140"/>
      <c r="D45" s="140"/>
      <c r="E45" s="140"/>
      <c r="F45" s="76"/>
      <c r="G45" s="76"/>
      <c r="H45" s="76"/>
      <c r="I45" s="76"/>
      <c r="J45" s="76"/>
      <c r="K45" s="76"/>
      <c r="L45" s="76"/>
      <c r="M45" s="76"/>
      <c r="N45" s="76"/>
      <c r="O45" s="76"/>
      <c r="P45" s="76"/>
      <c r="Q45" s="76"/>
    </row>
    <row r="46" spans="1:17">
      <c r="A46" s="535"/>
      <c r="B46" s="77"/>
      <c r="C46" s="140"/>
      <c r="D46" s="140"/>
      <c r="E46" s="140"/>
      <c r="F46" s="76"/>
      <c r="G46" s="76"/>
      <c r="H46" s="76"/>
      <c r="I46" s="76"/>
      <c r="J46" s="76"/>
      <c r="K46" s="76"/>
      <c r="L46" s="76"/>
      <c r="M46" s="76"/>
      <c r="N46" s="76"/>
      <c r="O46" s="76"/>
      <c r="P46" s="76"/>
      <c r="Q46" s="76"/>
    </row>
    <row r="47" spans="1:17">
      <c r="A47" s="535"/>
      <c r="B47" s="77"/>
      <c r="C47" s="140"/>
      <c r="D47" s="140"/>
      <c r="E47" s="140"/>
      <c r="F47" s="76"/>
      <c r="G47" s="76"/>
      <c r="H47" s="76"/>
      <c r="I47" s="76"/>
      <c r="J47" s="76"/>
      <c r="K47" s="76"/>
      <c r="L47" s="76"/>
      <c r="M47" s="76"/>
      <c r="N47" s="76"/>
      <c r="O47" s="76"/>
      <c r="P47" s="76"/>
      <c r="Q47" s="76"/>
    </row>
    <row r="48" spans="1:17">
      <c r="M48" s="76"/>
      <c r="N48" s="76"/>
      <c r="O48" s="76"/>
      <c r="P48" s="76"/>
      <c r="Q48" s="76"/>
    </row>
  </sheetData>
  <mergeCells count="1">
    <mergeCell ref="B3:F3"/>
  </mergeCells>
  <conditionalFormatting sqref="B5:B24">
    <cfRule type="expression" dxfId="1" priority="1">
      <formula>D5="D"</formula>
    </cfRule>
    <cfRule type="expression" dxfId="0" priority="2">
      <formula>D5="M"</formula>
    </cfRule>
  </conditionalFormatting>
  <pageMargins left="0.70866141732283472" right="0.70866141732283472" top="0.74803149606299213" bottom="0.74803149606299213" header="0.31496062992125984" footer="0.31496062992125984"/>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1"/>
  <dimension ref="A1:S139"/>
  <sheetViews>
    <sheetView topLeftCell="F97" zoomScaleNormal="100" workbookViewId="0">
      <selection activeCell="J139" sqref="J139"/>
    </sheetView>
  </sheetViews>
  <sheetFormatPr defaultRowHeight="12.75"/>
  <cols>
    <col min="1" max="1" width="9" style="4"/>
    <col min="2" max="2" width="12.59765625" style="15" customWidth="1"/>
    <col min="3" max="3" width="12.59765625" style="456" customWidth="1"/>
    <col min="4" max="4" width="14.86328125" customWidth="1"/>
    <col min="5" max="5" width="54.86328125" bestFit="1" customWidth="1"/>
    <col min="6" max="6" width="38" customWidth="1"/>
    <col min="7" max="7" width="20.265625" customWidth="1"/>
    <col min="8" max="8" width="10.86328125" style="1" customWidth="1"/>
    <col min="9" max="9" width="10.86328125" style="167" customWidth="1"/>
    <col min="10" max="11" width="12" style="1" customWidth="1"/>
    <col min="12" max="12" width="19.265625" customWidth="1"/>
    <col min="13" max="13" width="13.73046875" customWidth="1"/>
    <col min="14" max="14" width="17" customWidth="1"/>
    <col min="15" max="15" width="13" customWidth="1"/>
    <col min="16" max="16" width="11.59765625" customWidth="1"/>
    <col min="17" max="19" width="9.1328125" style="168" customWidth="1"/>
  </cols>
  <sheetData>
    <row r="1" spans="1:19">
      <c r="A1" s="14" t="s">
        <v>464</v>
      </c>
      <c r="B1" s="90" t="s">
        <v>30</v>
      </c>
      <c r="C1" s="455"/>
      <c r="D1" s="58" t="s">
        <v>142</v>
      </c>
      <c r="E1" s="58" t="s">
        <v>31</v>
      </c>
      <c r="F1" s="8" t="s">
        <v>152</v>
      </c>
      <c r="G1" s="31" t="s">
        <v>48</v>
      </c>
      <c r="H1" s="34" t="s">
        <v>31</v>
      </c>
      <c r="I1" s="170" t="s">
        <v>55</v>
      </c>
      <c r="J1" s="34" t="s">
        <v>51</v>
      </c>
      <c r="K1" s="34" t="s">
        <v>465</v>
      </c>
      <c r="L1" t="s">
        <v>20</v>
      </c>
      <c r="M1" s="28" t="s">
        <v>22</v>
      </c>
      <c r="N1" t="s">
        <v>21</v>
      </c>
      <c r="O1" t="s">
        <v>23</v>
      </c>
      <c r="P1" t="s">
        <v>24</v>
      </c>
      <c r="Q1" s="169" t="s">
        <v>185</v>
      </c>
      <c r="R1" s="169" t="s">
        <v>184</v>
      </c>
      <c r="S1" s="169" t="s">
        <v>186</v>
      </c>
    </row>
    <row r="2" spans="1:19">
      <c r="A2" s="4">
        <v>1</v>
      </c>
      <c r="B2" s="90">
        <f>IF(Match!B2="","",Match!B2)</f>
        <v>46290</v>
      </c>
      <c r="C2" s="455">
        <f>IF(B2="","",WEEKDAY(B2))</f>
        <v>6</v>
      </c>
      <c r="D2" s="59" t="str">
        <f>IF(Match!D2="","",Match!D2)</f>
        <v>Nations</v>
      </c>
      <c r="E2" s="58" t="str">
        <f>IF(Match!U2="","",Match!U2)</f>
        <v>Armenia  v  Latvia   7/10  13/5  19/5</v>
      </c>
      <c r="F2" s="58" t="str">
        <f>IF(Match!V2="","",Match!V2)</f>
        <v xml:space="preserve">Armenia 2-0 Latvia </v>
      </c>
      <c r="G2" s="32" t="str">
        <f t="shared" ref="G2:G32" si="0">IF(E2="","",L2)</f>
        <v>Armenia</v>
      </c>
      <c r="H2" s="33" t="str">
        <f t="shared" ref="H2:H45" si="1">IF(E2="","",M2)</f>
        <v>7/10</v>
      </c>
      <c r="I2" s="171">
        <f>IF(E2="","",Q2)</f>
        <v>1.7</v>
      </c>
      <c r="J2" s="33">
        <f>INDEX(Picks!W:W,MATCH(G2,Picks!U:U,0))</f>
        <v>1</v>
      </c>
      <c r="K2" s="33">
        <f>IF(INDEX(Match!P:P,MATCH(A2,Match!A:A,0))="OFF",0,1)</f>
        <v>1</v>
      </c>
      <c r="L2" t="str">
        <f>INDEX(Match!Q:Q,MATCH(E2,Match!U:U,0))</f>
        <v>Armenia</v>
      </c>
      <c r="M2" t="str">
        <f>INDEX(Match!X:X,MATCH(E2,Match!U:U,0))</f>
        <v>7/10</v>
      </c>
      <c r="N2" t="str">
        <f>INDEX(Match!R:R,MATCH(E2,Match!U:U,0))</f>
        <v>Latvia</v>
      </c>
      <c r="O2" t="str">
        <f>INDEX(Match!Y:Y,MATCH(E2,Match!U:U,0))</f>
        <v>13/5</v>
      </c>
      <c r="P2" t="str">
        <f>INDEX(Match!Z:Z,MATCH(E2,Match!U:U,0))</f>
        <v>19/5</v>
      </c>
      <c r="Q2" s="168">
        <f>INDEX(Match!AA:AA,MATCH(E2,Match!U:U,0))</f>
        <v>1.7</v>
      </c>
      <c r="R2" s="168">
        <f>INDEX(Match!AB:AB,MATCH(E2,Match!U:U,0))</f>
        <v>3.6</v>
      </c>
      <c r="S2" s="168">
        <f>INDEX(Match!AC:AC,MATCH(E2,Match!U:U,0))</f>
        <v>4.8</v>
      </c>
    </row>
    <row r="3" spans="1:19">
      <c r="A3" s="4">
        <v>2</v>
      </c>
      <c r="B3" s="90">
        <f>IF(Match!B3="","",Match!B3)</f>
        <v>46290</v>
      </c>
      <c r="C3" s="455">
        <f t="shared" ref="C3:C66" si="2">IF(B3="","",WEEKDAY(B3))</f>
        <v>6</v>
      </c>
      <c r="D3" s="59" t="str">
        <f>IF(Match!D3="","",Match!D3)</f>
        <v>Nations</v>
      </c>
      <c r="E3" s="58" t="str">
        <f>IF(Match!U3="","",Match!U3)</f>
        <v>Georgia  v  N Ireland   17/20  12/5  3/1</v>
      </c>
      <c r="F3" s="58" t="str">
        <f>IF(Match!V3="","",Match!V3)</f>
        <v xml:space="preserve">Georgia 0-1 N Ireland </v>
      </c>
      <c r="G3" s="32" t="str">
        <f t="shared" si="0"/>
        <v>Georgia</v>
      </c>
      <c r="H3" s="33" t="str">
        <f t="shared" si="1"/>
        <v>17/20</v>
      </c>
      <c r="I3" s="171">
        <f t="shared" ref="I3:I47" si="3">IF(E3="","",Q3)</f>
        <v>1.85</v>
      </c>
      <c r="J3" s="33">
        <f>INDEX(Picks!W:W,MATCH(G3,Picks!U:U,0))</f>
        <v>0</v>
      </c>
      <c r="K3" s="33">
        <f>IF(INDEX(Match!P:P,MATCH(A3,Match!A:A,0))="OFF",0,1)</f>
        <v>1</v>
      </c>
      <c r="L3" t="str">
        <f>INDEX(Match!Q:Q,MATCH(E3,Match!U:U,0))</f>
        <v>Georgia</v>
      </c>
      <c r="M3" t="str">
        <f>INDEX(Match!X:X,MATCH(E3,Match!U:U,0))</f>
        <v>17/20</v>
      </c>
      <c r="N3" t="str">
        <f>INDEX(Match!R:R,MATCH(E3,Match!U:U,0))</f>
        <v>N Ireland</v>
      </c>
      <c r="O3" t="str">
        <f>INDEX(Match!Y:Y,MATCH(E3,Match!U:U,0))</f>
        <v>12/5</v>
      </c>
      <c r="P3" t="str">
        <f>INDEX(Match!Z:Z,MATCH(E3,Match!U:U,0))</f>
        <v>3/1</v>
      </c>
      <c r="Q3" s="168">
        <f>INDEX(Match!AA:AA,MATCH(E3,Match!U:U,0))</f>
        <v>1.85</v>
      </c>
      <c r="R3" s="168">
        <f>INDEX(Match!AB:AB,MATCH(E3,Match!U:U,0))</f>
        <v>3.4</v>
      </c>
      <c r="S3" s="168">
        <f>INDEX(Match!AC:AC,MATCH(E3,Match!U:U,0))</f>
        <v>4</v>
      </c>
    </row>
    <row r="4" spans="1:19">
      <c r="A4" s="4">
        <v>3</v>
      </c>
      <c r="B4" s="90">
        <f>IF(Match!B4="","",Match!B4)</f>
        <v>46290</v>
      </c>
      <c r="C4" s="455">
        <f t="shared" si="2"/>
        <v>6</v>
      </c>
      <c r="D4" s="59" t="str">
        <f>IF(Match!D4="","",Match!D4)</f>
        <v>Nations</v>
      </c>
      <c r="E4" s="58" t="str">
        <f>IF(Match!U4="","",Match!U4)</f>
        <v>Hungary  v  Ukraine   6/5  21/10  11/5</v>
      </c>
      <c r="F4" s="58" t="str">
        <f>IF(Match!V4="","",Match!V4)</f>
        <v xml:space="preserve">Hungary 0-1 Ukraine </v>
      </c>
      <c r="G4" s="32" t="str">
        <f t="shared" si="0"/>
        <v>Hungary</v>
      </c>
      <c r="H4" s="33" t="str">
        <f t="shared" si="1"/>
        <v>6/5</v>
      </c>
      <c r="I4" s="171">
        <f t="shared" si="3"/>
        <v>2.2000000000000002</v>
      </c>
      <c r="J4" s="33">
        <f>INDEX(Picks!W:W,MATCH(G4,Picks!U:U,0))</f>
        <v>0</v>
      </c>
      <c r="K4" s="33">
        <f>IF(INDEX(Match!P:P,MATCH(A4,Match!A:A,0))="OFF",0,1)</f>
        <v>1</v>
      </c>
      <c r="L4" t="str">
        <f>INDEX(Match!Q:Q,MATCH(E4,Match!U:U,0))</f>
        <v>Hungary</v>
      </c>
      <c r="M4" t="str">
        <f>INDEX(Match!X:X,MATCH(E4,Match!U:U,0))</f>
        <v>6/5</v>
      </c>
      <c r="N4" t="str">
        <f>INDEX(Match!R:R,MATCH(E4,Match!U:U,0))</f>
        <v>Ukraine</v>
      </c>
      <c r="O4" t="str">
        <f>INDEX(Match!Y:Y,MATCH(E4,Match!U:U,0))</f>
        <v>21/10</v>
      </c>
      <c r="P4" t="str">
        <f>INDEX(Match!Z:Z,MATCH(E4,Match!U:U,0))</f>
        <v>11/5</v>
      </c>
      <c r="Q4" s="168">
        <f>INDEX(Match!AA:AA,MATCH(E4,Match!U:U,0))</f>
        <v>2.2000000000000002</v>
      </c>
      <c r="R4" s="168">
        <f>INDEX(Match!AB:AB,MATCH(E4,Match!U:U,0))</f>
        <v>3.1</v>
      </c>
      <c r="S4" s="168">
        <f>INDEX(Match!AC:AC,MATCH(E4,Match!U:U,0))</f>
        <v>3.2</v>
      </c>
    </row>
    <row r="5" spans="1:19">
      <c r="A5" s="4">
        <v>4</v>
      </c>
      <c r="B5" s="90">
        <f>IF(Match!B5="","",Match!B5)</f>
        <v>46290</v>
      </c>
      <c r="C5" s="455">
        <f t="shared" si="2"/>
        <v>6</v>
      </c>
      <c r="D5" s="59" t="str">
        <f>IF(Match!D5="","",Match!D5)</f>
        <v>Nations</v>
      </c>
      <c r="E5" s="58" t="str">
        <f>IF(Match!U5="","",Match!U5)</f>
        <v>Italy  v  Belgium   11/10  12/5  21/10</v>
      </c>
      <c r="F5" s="58" t="str">
        <f>IF(Match!V5="","",Match!V5)</f>
        <v xml:space="preserve">Italy 0-2 Belgium </v>
      </c>
      <c r="G5" s="32" t="str">
        <f t="shared" si="0"/>
        <v>Italy</v>
      </c>
      <c r="H5" s="33" t="str">
        <f t="shared" si="1"/>
        <v>11/10</v>
      </c>
      <c r="I5" s="171">
        <f t="shared" si="3"/>
        <v>2.1</v>
      </c>
      <c r="J5" s="33">
        <f>INDEX(Picks!W:W,MATCH(G5,Picks!U:U,0))</f>
        <v>0</v>
      </c>
      <c r="K5" s="33">
        <f>IF(INDEX(Match!P:P,MATCH(A5,Match!A:A,0))="OFF",0,1)</f>
        <v>1</v>
      </c>
      <c r="L5" t="str">
        <f>INDEX(Match!Q:Q,MATCH(E5,Match!U:U,0))</f>
        <v>Italy</v>
      </c>
      <c r="M5" t="str">
        <f>INDEX(Match!X:X,MATCH(E5,Match!U:U,0))</f>
        <v>11/10</v>
      </c>
      <c r="N5" t="str">
        <f>INDEX(Match!R:R,MATCH(E5,Match!U:U,0))</f>
        <v>Belgium</v>
      </c>
      <c r="O5" t="str">
        <f>INDEX(Match!Y:Y,MATCH(E5,Match!U:U,0))</f>
        <v>12/5</v>
      </c>
      <c r="P5" t="str">
        <f>INDEX(Match!Z:Z,MATCH(E5,Match!U:U,0))</f>
        <v>21/10</v>
      </c>
      <c r="Q5" s="168">
        <f>INDEX(Match!AA:AA,MATCH(E5,Match!U:U,0))</f>
        <v>2.1</v>
      </c>
      <c r="R5" s="168">
        <f>INDEX(Match!AB:AB,MATCH(E5,Match!U:U,0))</f>
        <v>3.4</v>
      </c>
      <c r="S5" s="168">
        <f>INDEX(Match!AC:AC,MATCH(E5,Match!U:U,0))</f>
        <v>3.1</v>
      </c>
    </row>
    <row r="6" spans="1:19">
      <c r="A6" s="4">
        <v>5</v>
      </c>
      <c r="B6" s="90">
        <f>IF(Match!B6="","",Match!B6)</f>
        <v>46290</v>
      </c>
      <c r="C6" s="455">
        <f t="shared" si="2"/>
        <v>6</v>
      </c>
      <c r="D6" s="59" t="str">
        <f>IF(Match!D6="","",Match!D6)</f>
        <v>Nations</v>
      </c>
      <c r="E6" s="58" t="str">
        <f>IF(Match!U6="","",Match!U6)</f>
        <v>Montenegro  v  Cyprus   7/10  5/2  15/4</v>
      </c>
      <c r="F6" s="58" t="str">
        <f>IF(Match!V6="","",Match!V6)</f>
        <v xml:space="preserve">Montenegro 2-1 Cyprus </v>
      </c>
      <c r="G6" s="32" t="str">
        <f t="shared" si="0"/>
        <v>Montenegro</v>
      </c>
      <c r="H6" s="33" t="str">
        <f t="shared" si="1"/>
        <v>7/10</v>
      </c>
      <c r="I6" s="171">
        <f t="shared" si="3"/>
        <v>1.7</v>
      </c>
      <c r="J6" s="33">
        <f>INDEX(Picks!W:W,MATCH(G6,Picks!U:U,0))</f>
        <v>1</v>
      </c>
      <c r="K6" s="33">
        <f>IF(INDEX(Match!P:P,MATCH(A6,Match!A:A,0))="OFF",0,1)</f>
        <v>1</v>
      </c>
      <c r="L6" t="str">
        <f>INDEX(Match!Q:Q,MATCH(E6,Match!U:U,0))</f>
        <v>Montenegro</v>
      </c>
      <c r="M6" t="str">
        <f>INDEX(Match!X:X,MATCH(E6,Match!U:U,0))</f>
        <v>7/10</v>
      </c>
      <c r="N6" t="str">
        <f>INDEX(Match!R:R,MATCH(E6,Match!U:U,0))</f>
        <v>Cyprus</v>
      </c>
      <c r="O6" t="str">
        <f>INDEX(Match!Y:Y,MATCH(E6,Match!U:U,0))</f>
        <v>5/2</v>
      </c>
      <c r="P6" t="str">
        <f>INDEX(Match!Z:Z,MATCH(E6,Match!U:U,0))</f>
        <v>15/4</v>
      </c>
      <c r="Q6" s="168">
        <f>INDEX(Match!AA:AA,MATCH(E6,Match!U:U,0))</f>
        <v>1.7</v>
      </c>
      <c r="R6" s="168">
        <f>INDEX(Match!AB:AB,MATCH(E6,Match!U:U,0))</f>
        <v>3.5</v>
      </c>
      <c r="S6" s="168">
        <f>INDEX(Match!AC:AC,MATCH(E6,Match!U:U,0))</f>
        <v>4.75</v>
      </c>
    </row>
    <row r="7" spans="1:19">
      <c r="A7" s="4">
        <v>6</v>
      </c>
      <c r="B7" s="90">
        <f>IF(Match!B7="","",Match!B7)</f>
        <v>46290</v>
      </c>
      <c r="C7" s="455">
        <f t="shared" si="2"/>
        <v>6</v>
      </c>
      <c r="D7" s="59" t="str">
        <f>IF(Match!D7="","",Match!D7)</f>
        <v>Nations</v>
      </c>
      <c r="E7" s="58" t="str">
        <f>IF(Match!U7="","",Match!U7)</f>
        <v>Poland  v  Bosnia   4/6  13/5  19/5</v>
      </c>
      <c r="F7" s="58" t="str">
        <f>IF(Match!V7="","",Match!V7)</f>
        <v xml:space="preserve">Poland 0-0 Bosnia </v>
      </c>
      <c r="G7" s="32" t="str">
        <f t="shared" si="0"/>
        <v>Poland</v>
      </c>
      <c r="H7" s="33" t="str">
        <f t="shared" si="1"/>
        <v>4/6</v>
      </c>
      <c r="I7" s="171">
        <f t="shared" si="3"/>
        <v>1.6666666666666665</v>
      </c>
      <c r="J7" s="33">
        <f>INDEX(Picks!W:W,MATCH(G7,Picks!U:U,0))</f>
        <v>0</v>
      </c>
      <c r="K7" s="33">
        <f>IF(INDEX(Match!P:P,MATCH(A7,Match!A:A,0))="OFF",0,1)</f>
        <v>1</v>
      </c>
      <c r="L7" t="str">
        <f>INDEX(Match!Q:Q,MATCH(E7,Match!U:U,0))</f>
        <v>Poland</v>
      </c>
      <c r="M7" t="str">
        <f>INDEX(Match!X:X,MATCH(E7,Match!U:U,0))</f>
        <v>4/6</v>
      </c>
      <c r="N7" t="str">
        <f>INDEX(Match!R:R,MATCH(E7,Match!U:U,0))</f>
        <v>Bosnia</v>
      </c>
      <c r="O7" t="str">
        <f>INDEX(Match!Y:Y,MATCH(E7,Match!U:U,0))</f>
        <v>13/5</v>
      </c>
      <c r="P7" t="str">
        <f>INDEX(Match!Z:Z,MATCH(E7,Match!U:U,0))</f>
        <v>19/5</v>
      </c>
      <c r="Q7" s="168">
        <f>INDEX(Match!AA:AA,MATCH(E7,Match!U:U,0))</f>
        <v>1.6666666666666665</v>
      </c>
      <c r="R7" s="168">
        <f>INDEX(Match!AB:AB,MATCH(E7,Match!U:U,0))</f>
        <v>3.6</v>
      </c>
      <c r="S7" s="168">
        <f>INDEX(Match!AC:AC,MATCH(E7,Match!U:U,0))</f>
        <v>4.8</v>
      </c>
    </row>
    <row r="8" spans="1:19">
      <c r="A8" s="4">
        <v>7</v>
      </c>
      <c r="B8" s="90">
        <f>IF(Match!B8="","",Match!B8)</f>
        <v>46290</v>
      </c>
      <c r="C8" s="455">
        <f t="shared" si="2"/>
        <v>6</v>
      </c>
      <c r="D8" s="59" t="str">
        <f>IF(Match!D8="","",Match!D8)</f>
        <v>Nations</v>
      </c>
      <c r="E8" s="58" t="str">
        <f>IF(Match!U8="","",Match!U8)</f>
        <v>Sweden  v  Romania   1/2  16/5  9/2</v>
      </c>
      <c r="F8" s="58" t="str">
        <f>IF(Match!V8="","",Match!V8)</f>
        <v xml:space="preserve">Sweden 2-1 Romania </v>
      </c>
      <c r="G8" s="32" t="str">
        <f t="shared" si="0"/>
        <v>Sweden</v>
      </c>
      <c r="H8" s="33" t="str">
        <f t="shared" si="1"/>
        <v>1/2</v>
      </c>
      <c r="I8" s="171">
        <f t="shared" si="3"/>
        <v>1.5</v>
      </c>
      <c r="J8" s="33">
        <f>INDEX(Picks!W:W,MATCH(G8,Picks!U:U,0))</f>
        <v>1</v>
      </c>
      <c r="K8" s="33">
        <f>IF(INDEX(Match!P:P,MATCH(A8,Match!A:A,0))="OFF",0,1)</f>
        <v>1</v>
      </c>
      <c r="L8" t="str">
        <f>INDEX(Match!Q:Q,MATCH(E8,Match!U:U,0))</f>
        <v>Sweden</v>
      </c>
      <c r="M8" t="str">
        <f>INDEX(Match!X:X,MATCH(E8,Match!U:U,0))</f>
        <v>1/2</v>
      </c>
      <c r="N8" t="str">
        <f>INDEX(Match!R:R,MATCH(E8,Match!U:U,0))</f>
        <v>Romania</v>
      </c>
      <c r="O8" t="str">
        <f>INDEX(Match!Y:Y,MATCH(E8,Match!U:U,0))</f>
        <v>16/5</v>
      </c>
      <c r="P8" t="str">
        <f>INDEX(Match!Z:Z,MATCH(E8,Match!U:U,0))</f>
        <v>9/2</v>
      </c>
      <c r="Q8" s="168">
        <f>INDEX(Match!AA:AA,MATCH(E8,Match!U:U,0))</f>
        <v>1.5</v>
      </c>
      <c r="R8" s="168">
        <f>INDEX(Match!AB:AB,MATCH(E8,Match!U:U,0))</f>
        <v>4.2</v>
      </c>
      <c r="S8" s="168">
        <f>INDEX(Match!AC:AC,MATCH(E8,Match!U:U,0))</f>
        <v>5.5</v>
      </c>
    </row>
    <row r="9" spans="1:19">
      <c r="A9" s="4">
        <v>8</v>
      </c>
      <c r="B9" s="90">
        <f>IF(Match!B9="","",Match!B9)</f>
        <v>46290</v>
      </c>
      <c r="C9" s="455">
        <f t="shared" si="2"/>
        <v>6</v>
      </c>
      <c r="D9" s="59" t="str">
        <f>IF(Match!D9="","",Match!D9)</f>
        <v>Nations</v>
      </c>
      <c r="E9" s="58" t="str">
        <f>IF(Match!U9="","",Match!U9)</f>
        <v>Turkey  v  France   5/1  10/3  4/9</v>
      </c>
      <c r="F9" s="58" t="str">
        <f>IF(Match!V9="","",Match!V9)</f>
        <v xml:space="preserve">Turkey 0-1 France </v>
      </c>
      <c r="G9" s="32" t="str">
        <f t="shared" si="0"/>
        <v>Turkey</v>
      </c>
      <c r="H9" s="33" t="str">
        <f t="shared" si="1"/>
        <v>5/1</v>
      </c>
      <c r="I9" s="171">
        <f t="shared" si="3"/>
        <v>6</v>
      </c>
      <c r="J9" s="33">
        <f>INDEX(Picks!W:W,MATCH(G9,Picks!U:U,0))</f>
        <v>0</v>
      </c>
      <c r="K9" s="33">
        <f>IF(INDEX(Match!P:P,MATCH(A9,Match!A:A,0))="OFF",0,1)</f>
        <v>1</v>
      </c>
      <c r="L9" t="str">
        <f>INDEX(Match!Q:Q,MATCH(E9,Match!U:U,0))</f>
        <v>Turkey</v>
      </c>
      <c r="M9" t="str">
        <f>INDEX(Match!X:X,MATCH(E9,Match!U:U,0))</f>
        <v>5/1</v>
      </c>
      <c r="N9" t="str">
        <f>INDEX(Match!R:R,MATCH(E9,Match!U:U,0))</f>
        <v>France</v>
      </c>
      <c r="O9" t="str">
        <f>INDEX(Match!Y:Y,MATCH(E9,Match!U:U,0))</f>
        <v>10/3</v>
      </c>
      <c r="P9" t="str">
        <f>INDEX(Match!Z:Z,MATCH(E9,Match!U:U,0))</f>
        <v>4/9</v>
      </c>
      <c r="Q9" s="168">
        <f>INDEX(Match!AA:AA,MATCH(E9,Match!U:U,0))</f>
        <v>6</v>
      </c>
      <c r="R9" s="168">
        <f>INDEX(Match!AB:AB,MATCH(E9,Match!U:U,0))</f>
        <v>4.3333333333333339</v>
      </c>
      <c r="S9" s="168">
        <f>INDEX(Match!AC:AC,MATCH(E9,Match!U:U,0))</f>
        <v>1.4444444444444444</v>
      </c>
    </row>
    <row r="10" spans="1:19">
      <c r="A10" s="4">
        <v>9</v>
      </c>
      <c r="B10" s="90">
        <f>IF(Match!B10="","",Match!B10)</f>
        <v>46291</v>
      </c>
      <c r="C10" s="455">
        <f t="shared" si="2"/>
        <v>7</v>
      </c>
      <c r="D10" s="59" t="str">
        <f>IF(Match!D10="","",Match!D10)</f>
        <v>League 1</v>
      </c>
      <c r="E10" s="58" t="str">
        <f>IF(Match!U10="","",Match!U10)</f>
        <v>Cambridge  v  Wimbledon   4/5  12/5  3/1</v>
      </c>
      <c r="F10" s="58" t="str">
        <f>IF(Match!V10="","",Match!V10)</f>
        <v xml:space="preserve">Cambridge 1-1 Wimbledon </v>
      </c>
      <c r="G10" s="32" t="str">
        <f t="shared" si="0"/>
        <v>Cambridge</v>
      </c>
      <c r="H10" s="33" t="str">
        <f t="shared" si="1"/>
        <v>4/5</v>
      </c>
      <c r="I10" s="171">
        <f t="shared" si="3"/>
        <v>1.8</v>
      </c>
      <c r="J10" s="33">
        <f>INDEX(Picks!W:W,MATCH(G10,Picks!U:U,0))</f>
        <v>0</v>
      </c>
      <c r="K10" s="33">
        <f>IF(INDEX(Match!P:P,MATCH(A10,Match!A:A,0))="OFF",0,1)</f>
        <v>1</v>
      </c>
      <c r="L10" t="str">
        <f>INDEX(Match!Q:Q,MATCH(E10,Match!U:U,0))</f>
        <v>Cambridge</v>
      </c>
      <c r="M10" t="str">
        <f>INDEX(Match!X:X,MATCH(E10,Match!U:U,0))</f>
        <v>4/5</v>
      </c>
      <c r="N10" t="str">
        <f>INDEX(Match!R:R,MATCH(E10,Match!U:U,0))</f>
        <v>Wimbledon</v>
      </c>
      <c r="O10" t="str">
        <f>INDEX(Match!Y:Y,MATCH(E10,Match!U:U,0))</f>
        <v>12/5</v>
      </c>
      <c r="P10" t="str">
        <f>INDEX(Match!Z:Z,MATCH(E10,Match!U:U,0))</f>
        <v>3/1</v>
      </c>
      <c r="Q10" s="168">
        <f>INDEX(Match!AA:AA,MATCH(E10,Match!U:U,0))</f>
        <v>1.8</v>
      </c>
      <c r="R10" s="168">
        <f>INDEX(Match!AB:AB,MATCH(E10,Match!U:U,0))</f>
        <v>3.4</v>
      </c>
      <c r="S10" s="168">
        <f>INDEX(Match!AC:AC,MATCH(E10,Match!U:U,0))</f>
        <v>4</v>
      </c>
    </row>
    <row r="11" spans="1:19">
      <c r="A11" s="4">
        <v>10</v>
      </c>
      <c r="B11" s="90">
        <f>IF(Match!B11="","",Match!B11)</f>
        <v>46291</v>
      </c>
      <c r="C11" s="455">
        <f t="shared" si="2"/>
        <v>7</v>
      </c>
      <c r="D11" s="59" t="str">
        <f>IF(Match!D11="","",Match!D11)</f>
        <v>League 1</v>
      </c>
      <c r="E11" s="58" t="str">
        <f>IF(Match!U11="","",Match!U11)</f>
        <v>Plymouth  v  Burton   8/13  14/5  18/5</v>
      </c>
      <c r="F11" s="58" t="str">
        <f>IF(Match!V11="","",Match!V11)</f>
        <v xml:space="preserve">Plymouth 0-1 Burton </v>
      </c>
      <c r="G11" s="32" t="str">
        <f t="shared" si="0"/>
        <v>Plymouth</v>
      </c>
      <c r="H11" s="33" t="str">
        <f t="shared" si="1"/>
        <v>8/13</v>
      </c>
      <c r="I11" s="171">
        <f t="shared" si="3"/>
        <v>1.6153846153846154</v>
      </c>
      <c r="J11" s="33">
        <f>INDEX(Picks!W:W,MATCH(G11,Picks!U:U,0))</f>
        <v>0</v>
      </c>
      <c r="K11" s="33">
        <f>IF(INDEX(Match!P:P,MATCH(A11,Match!A:A,0))="OFF",0,1)</f>
        <v>1</v>
      </c>
      <c r="L11" t="str">
        <f>INDEX(Match!Q:Q,MATCH(E11,Match!U:U,0))</f>
        <v>Plymouth</v>
      </c>
      <c r="M11" t="str">
        <f>INDEX(Match!X:X,MATCH(E11,Match!U:U,0))</f>
        <v>8/13</v>
      </c>
      <c r="N11" t="str">
        <f>INDEX(Match!R:R,MATCH(E11,Match!U:U,0))</f>
        <v>Burton</v>
      </c>
      <c r="O11" t="str">
        <f>INDEX(Match!Y:Y,MATCH(E11,Match!U:U,0))</f>
        <v>14/5</v>
      </c>
      <c r="P11" t="str">
        <f>INDEX(Match!Z:Z,MATCH(E11,Match!U:U,0))</f>
        <v>18/5</v>
      </c>
      <c r="Q11" s="168">
        <f>INDEX(Match!AA:AA,MATCH(E11,Match!U:U,0))</f>
        <v>1.6153846153846154</v>
      </c>
      <c r="R11" s="168">
        <f>INDEX(Match!AB:AB,MATCH(E11,Match!U:U,0))</f>
        <v>3.8</v>
      </c>
      <c r="S11" s="168">
        <f>INDEX(Match!AC:AC,MATCH(E11,Match!U:U,0))</f>
        <v>4.5999999999999996</v>
      </c>
    </row>
    <row r="12" spans="1:19">
      <c r="A12" s="4">
        <v>11</v>
      </c>
      <c r="B12" s="90">
        <f>IF(Match!B12="","",Match!B12)</f>
        <v>46291</v>
      </c>
      <c r="C12" s="455">
        <f t="shared" si="2"/>
        <v>7</v>
      </c>
      <c r="D12" s="59" t="str">
        <f>IF(Match!D12="","",Match!D12)</f>
        <v>League 1</v>
      </c>
      <c r="E12" s="58" t="str">
        <f>IF(Match!U12="","",Match!U12)</f>
        <v>Stockport  v  Peterbro   4/11  19/5  11/2</v>
      </c>
      <c r="F12" s="58" t="str">
        <f>IF(Match!V12="","",Match!V12)</f>
        <v xml:space="preserve">Stockport 1-0 Peterbro </v>
      </c>
      <c r="G12" s="32" t="str">
        <f t="shared" si="0"/>
        <v>Stockport</v>
      </c>
      <c r="H12" s="33" t="str">
        <f t="shared" si="1"/>
        <v>4/11</v>
      </c>
      <c r="I12" s="171">
        <f t="shared" si="3"/>
        <v>1.3636363636363638</v>
      </c>
      <c r="J12" s="33">
        <f>INDEX(Picks!W:W,MATCH(G12,Picks!U:U,0))</f>
        <v>1</v>
      </c>
      <c r="K12" s="33">
        <f>IF(INDEX(Match!P:P,MATCH(A12,Match!A:A,0))="OFF",0,1)</f>
        <v>1</v>
      </c>
      <c r="L12" t="str">
        <f>INDEX(Match!Q:Q,MATCH(E12,Match!U:U,0))</f>
        <v>Stockport</v>
      </c>
      <c r="M12" t="str">
        <f>INDEX(Match!X:X,MATCH(E12,Match!U:U,0))</f>
        <v>4/11</v>
      </c>
      <c r="N12" t="str">
        <f>INDEX(Match!R:R,MATCH(E12,Match!U:U,0))</f>
        <v>Peterbro</v>
      </c>
      <c r="O12" t="str">
        <f>INDEX(Match!Y:Y,MATCH(E12,Match!U:U,0))</f>
        <v>19/5</v>
      </c>
      <c r="P12" t="str">
        <f>INDEX(Match!Z:Z,MATCH(E12,Match!U:U,0))</f>
        <v>11/2</v>
      </c>
      <c r="Q12" s="168">
        <f>INDEX(Match!AA:AA,MATCH(E12,Match!U:U,0))</f>
        <v>1.3636363636363638</v>
      </c>
      <c r="R12" s="168">
        <f>INDEX(Match!AB:AB,MATCH(E12,Match!U:U,0))</f>
        <v>4.8</v>
      </c>
      <c r="S12" s="168">
        <f>INDEX(Match!AC:AC,MATCH(E12,Match!U:U,0))</f>
        <v>6.5</v>
      </c>
    </row>
    <row r="13" spans="1:19">
      <c r="A13" s="4">
        <v>12</v>
      </c>
      <c r="B13" s="90">
        <f>IF(Match!B13="","",Match!B13)</f>
        <v>46291</v>
      </c>
      <c r="C13" s="455">
        <f t="shared" si="2"/>
        <v>7</v>
      </c>
      <c r="D13" s="59" t="str">
        <f>IF(Match!D13="","",Match!D13)</f>
        <v>League 1</v>
      </c>
      <c r="E13" s="58" t="str">
        <f>IF(Match!U13="","",Match!U13)</f>
        <v>Wycombe  v  Reading   29/20  12/5  6/4</v>
      </c>
      <c r="F13" s="58" t="str">
        <f>IF(Match!V13="","",Match!V13)</f>
        <v xml:space="preserve">Wycombe 2-2 Reading </v>
      </c>
      <c r="G13" s="32" t="str">
        <f t="shared" si="0"/>
        <v>Wycombe</v>
      </c>
      <c r="H13" s="33" t="str">
        <f t="shared" si="1"/>
        <v>29/20</v>
      </c>
      <c r="I13" s="171">
        <f t="shared" si="3"/>
        <v>2.4500000000000002</v>
      </c>
      <c r="J13" s="33">
        <f>INDEX(Picks!W:W,MATCH(G13,Picks!U:U,0))</f>
        <v>0</v>
      </c>
      <c r="K13" s="33">
        <f>IF(INDEX(Match!P:P,MATCH(A13,Match!A:A,0))="OFF",0,1)</f>
        <v>1</v>
      </c>
      <c r="L13" t="str">
        <f>INDEX(Match!Q:Q,MATCH(E13,Match!U:U,0))</f>
        <v>Wycombe</v>
      </c>
      <c r="M13" t="str">
        <f>INDEX(Match!X:X,MATCH(E13,Match!U:U,0))</f>
        <v>29/20</v>
      </c>
      <c r="N13" t="str">
        <f>INDEX(Match!R:R,MATCH(E13,Match!U:U,0))</f>
        <v>Reading</v>
      </c>
      <c r="O13" t="str">
        <f>INDEX(Match!Y:Y,MATCH(E13,Match!U:U,0))</f>
        <v>12/5</v>
      </c>
      <c r="P13" t="str">
        <f>INDEX(Match!Z:Z,MATCH(E13,Match!U:U,0))</f>
        <v>6/4</v>
      </c>
      <c r="Q13" s="168">
        <f>INDEX(Match!AA:AA,MATCH(E13,Match!U:U,0))</f>
        <v>2.4500000000000002</v>
      </c>
      <c r="R13" s="168">
        <f>INDEX(Match!AB:AB,MATCH(E13,Match!U:U,0))</f>
        <v>3.4</v>
      </c>
      <c r="S13" s="168">
        <f>INDEX(Match!AC:AC,MATCH(E13,Match!U:U,0))</f>
        <v>2.5</v>
      </c>
    </row>
    <row r="14" spans="1:19">
      <c r="A14" s="4">
        <v>13</v>
      </c>
      <c r="B14" s="90">
        <f>IF(Match!B14="","",Match!B14)</f>
        <v>46291</v>
      </c>
      <c r="C14" s="455">
        <f t="shared" si="2"/>
        <v>7</v>
      </c>
      <c r="D14" s="59" t="str">
        <f>IF(Match!D14="","",Match!D14)</f>
        <v>League 2</v>
      </c>
      <c r="E14" s="58" t="str">
        <f>IF(Match!U14="","",Match!U14)</f>
        <v>Bristol R  v  Exeter   8/11  14/5  3/1</v>
      </c>
      <c r="F14" s="58" t="str">
        <f>IF(Match!V14="","",Match!V14)</f>
        <v xml:space="preserve">Bristol R 1-0 Exeter </v>
      </c>
      <c r="G14" s="32" t="str">
        <f t="shared" si="0"/>
        <v>Bristol R</v>
      </c>
      <c r="H14" s="33" t="str">
        <f t="shared" si="1"/>
        <v>8/11</v>
      </c>
      <c r="I14" s="171">
        <f t="shared" si="3"/>
        <v>1.7272727272727273</v>
      </c>
      <c r="J14" s="33">
        <f>INDEX(Picks!W:W,MATCH(G14,Picks!U:U,0))</f>
        <v>1</v>
      </c>
      <c r="K14" s="33">
        <f>IF(INDEX(Match!P:P,MATCH(A14,Match!A:A,0))="OFF",0,1)</f>
        <v>1</v>
      </c>
      <c r="L14" t="str">
        <f>INDEX(Match!Q:Q,MATCH(E14,Match!U:U,0))</f>
        <v>Bristol R</v>
      </c>
      <c r="M14" t="str">
        <f>INDEX(Match!X:X,MATCH(E14,Match!U:U,0))</f>
        <v>8/11</v>
      </c>
      <c r="N14" t="str">
        <f>INDEX(Match!R:R,MATCH(E14,Match!U:U,0))</f>
        <v>Exeter</v>
      </c>
      <c r="O14" t="str">
        <f>INDEX(Match!Y:Y,MATCH(E14,Match!U:U,0))</f>
        <v>14/5</v>
      </c>
      <c r="P14" t="str">
        <f>INDEX(Match!Z:Z,MATCH(E14,Match!U:U,0))</f>
        <v>3/1</v>
      </c>
      <c r="Q14" s="168">
        <f>INDEX(Match!AA:AA,MATCH(E14,Match!U:U,0))</f>
        <v>1.7272727272727273</v>
      </c>
      <c r="R14" s="168">
        <f>INDEX(Match!AB:AB,MATCH(E14,Match!U:U,0))</f>
        <v>3.8</v>
      </c>
      <c r="S14" s="168">
        <f>INDEX(Match!AC:AC,MATCH(E14,Match!U:U,0))</f>
        <v>4</v>
      </c>
    </row>
    <row r="15" spans="1:19">
      <c r="A15" s="4">
        <v>14</v>
      </c>
      <c r="B15" s="90">
        <f>IF(Match!B15="","",Match!B15)</f>
        <v>46291</v>
      </c>
      <c r="C15" s="455">
        <f t="shared" si="2"/>
        <v>7</v>
      </c>
      <c r="D15" s="59" t="str">
        <f>IF(Match!D15="","",Match!D15)</f>
        <v>League 2</v>
      </c>
      <c r="E15" s="58" t="str">
        <f>IF(Match!U15="","",Match!U15)</f>
        <v>Cheltenham  v  Chesterfield   19/10  5/2  23/20</v>
      </c>
      <c r="F15" s="58" t="str">
        <f>IF(Match!V15="","",Match!V15)</f>
        <v xml:space="preserve">Cheltenham 2-1 Chesterfield </v>
      </c>
      <c r="G15" s="32" t="str">
        <f t="shared" si="0"/>
        <v>Cheltenham</v>
      </c>
      <c r="H15" s="33" t="str">
        <f t="shared" si="1"/>
        <v>19/10</v>
      </c>
      <c r="I15" s="171">
        <f t="shared" si="3"/>
        <v>2.9</v>
      </c>
      <c r="J15" s="33">
        <f>INDEX(Picks!W:W,MATCH(G15,Picks!U:U,0))</f>
        <v>1</v>
      </c>
      <c r="K15" s="33">
        <f>IF(INDEX(Match!P:P,MATCH(A15,Match!A:A,0))="OFF",0,1)</f>
        <v>1</v>
      </c>
      <c r="L15" t="str">
        <f>INDEX(Match!Q:Q,MATCH(E15,Match!U:U,0))</f>
        <v>Cheltenham</v>
      </c>
      <c r="M15" t="str">
        <f>INDEX(Match!X:X,MATCH(E15,Match!U:U,0))</f>
        <v>19/10</v>
      </c>
      <c r="N15" t="str">
        <f>INDEX(Match!R:R,MATCH(E15,Match!U:U,0))</f>
        <v>Chesterfield</v>
      </c>
      <c r="O15" t="str">
        <f>INDEX(Match!Y:Y,MATCH(E15,Match!U:U,0))</f>
        <v>5/2</v>
      </c>
      <c r="P15" t="str">
        <f>INDEX(Match!Z:Z,MATCH(E15,Match!U:U,0))</f>
        <v>23/20</v>
      </c>
      <c r="Q15" s="168">
        <f>INDEX(Match!AA:AA,MATCH(E15,Match!U:U,0))</f>
        <v>2.9</v>
      </c>
      <c r="R15" s="168">
        <f>INDEX(Match!AB:AB,MATCH(E15,Match!U:U,0))</f>
        <v>3.5</v>
      </c>
      <c r="S15" s="168">
        <f>INDEX(Match!AC:AC,MATCH(E15,Match!U:U,0))</f>
        <v>2.15</v>
      </c>
    </row>
    <row r="16" spans="1:19">
      <c r="A16" s="4">
        <v>15</v>
      </c>
      <c r="B16" s="90">
        <f>IF(Match!B16="","",Match!B16)</f>
        <v>46291</v>
      </c>
      <c r="C16" s="455">
        <f t="shared" si="2"/>
        <v>7</v>
      </c>
      <c r="D16" s="59" t="str">
        <f>IF(Match!D16="","",Match!D16)</f>
        <v>League 2</v>
      </c>
      <c r="E16" s="58" t="str">
        <f>IF(Match!U16="","",Match!U16)</f>
        <v>Fleetwood  v  Rochdale   17/20  5/2  14/5</v>
      </c>
      <c r="F16" s="58" t="str">
        <f>IF(Match!V16="","",Match!V16)</f>
        <v xml:space="preserve">Fleetwood 1-2 Rochdale </v>
      </c>
      <c r="G16" s="32" t="str">
        <f t="shared" si="0"/>
        <v>Fleetwood</v>
      </c>
      <c r="H16" s="33" t="str">
        <f t="shared" si="1"/>
        <v>17/20</v>
      </c>
      <c r="I16" s="171">
        <f t="shared" si="3"/>
        <v>1.85</v>
      </c>
      <c r="J16" s="33">
        <f>INDEX(Picks!W:W,MATCH(G16,Picks!U:U,0))</f>
        <v>0</v>
      </c>
      <c r="K16" s="33">
        <f>IF(INDEX(Match!P:P,MATCH(A16,Match!A:A,0))="OFF",0,1)</f>
        <v>1</v>
      </c>
      <c r="L16" t="str">
        <f>INDEX(Match!Q:Q,MATCH(E16,Match!U:U,0))</f>
        <v>Fleetwood</v>
      </c>
      <c r="M16" t="str">
        <f>INDEX(Match!X:X,MATCH(E16,Match!U:U,0))</f>
        <v>17/20</v>
      </c>
      <c r="N16" t="str">
        <f>INDEX(Match!R:R,MATCH(E16,Match!U:U,0))</f>
        <v>Rochdale</v>
      </c>
      <c r="O16" t="str">
        <f>INDEX(Match!Y:Y,MATCH(E16,Match!U:U,0))</f>
        <v>5/2</v>
      </c>
      <c r="P16" t="str">
        <f>INDEX(Match!Z:Z,MATCH(E16,Match!U:U,0))</f>
        <v>14/5</v>
      </c>
      <c r="Q16" s="168">
        <f>INDEX(Match!AA:AA,MATCH(E16,Match!U:U,0))</f>
        <v>1.85</v>
      </c>
      <c r="R16" s="168">
        <f>INDEX(Match!AB:AB,MATCH(E16,Match!U:U,0))</f>
        <v>3.5</v>
      </c>
      <c r="S16" s="168">
        <f>INDEX(Match!AC:AC,MATCH(E16,Match!U:U,0))</f>
        <v>3.8</v>
      </c>
    </row>
    <row r="17" spans="1:19">
      <c r="A17" s="4">
        <v>16</v>
      </c>
      <c r="B17" s="90">
        <f>IF(Match!B17="","",Match!B17)</f>
        <v>46291</v>
      </c>
      <c r="C17" s="455">
        <f t="shared" si="2"/>
        <v>7</v>
      </c>
      <c r="D17" s="59" t="str">
        <f>IF(Match!D17="","",Match!D17)</f>
        <v>League 2</v>
      </c>
      <c r="E17" s="58" t="str">
        <f>IF(Match!U17="","",Match!U17)</f>
        <v>Newport  v  Grimsby   3/1  12/5  4/5</v>
      </c>
      <c r="F17" s="58" t="str">
        <f>IF(Match!V17="","",Match!V17)</f>
        <v xml:space="preserve">Newport 2-1 Grimsby </v>
      </c>
      <c r="G17" s="32" t="str">
        <f t="shared" si="0"/>
        <v>Newport</v>
      </c>
      <c r="H17" s="33" t="str">
        <f t="shared" si="1"/>
        <v>3/1</v>
      </c>
      <c r="I17" s="171">
        <f t="shared" si="3"/>
        <v>4</v>
      </c>
      <c r="J17" s="33">
        <f>INDEX(Picks!W:W,MATCH(G17,Picks!U:U,0))</f>
        <v>1</v>
      </c>
      <c r="K17" s="33">
        <f>IF(INDEX(Match!P:P,MATCH(A17,Match!A:A,0))="OFF",0,1)</f>
        <v>1</v>
      </c>
      <c r="L17" t="str">
        <f>INDEX(Match!Q:Q,MATCH(E17,Match!U:U,0))</f>
        <v>Newport</v>
      </c>
      <c r="M17" t="str">
        <f>INDEX(Match!X:X,MATCH(E17,Match!U:U,0))</f>
        <v>3/1</v>
      </c>
      <c r="N17" t="str">
        <f>INDEX(Match!R:R,MATCH(E17,Match!U:U,0))</f>
        <v>Grimsby</v>
      </c>
      <c r="O17" t="str">
        <f>INDEX(Match!Y:Y,MATCH(E17,Match!U:U,0))</f>
        <v>12/5</v>
      </c>
      <c r="P17" t="str">
        <f>INDEX(Match!Z:Z,MATCH(E17,Match!U:U,0))</f>
        <v>4/5</v>
      </c>
      <c r="Q17" s="168">
        <f>INDEX(Match!AA:AA,MATCH(E17,Match!U:U,0))</f>
        <v>4</v>
      </c>
      <c r="R17" s="168">
        <f>INDEX(Match!AB:AB,MATCH(E17,Match!U:U,0))</f>
        <v>3.4</v>
      </c>
      <c r="S17" s="168">
        <f>INDEX(Match!AC:AC,MATCH(E17,Match!U:U,0))</f>
        <v>1.8</v>
      </c>
    </row>
    <row r="18" spans="1:19">
      <c r="A18" s="4">
        <v>17</v>
      </c>
      <c r="B18" s="90">
        <f>IF(Match!B18="","",Match!B18)</f>
        <v>46291</v>
      </c>
      <c r="C18" s="455">
        <f t="shared" si="2"/>
        <v>7</v>
      </c>
      <c r="D18" s="59" t="str">
        <f>IF(Match!D21="","",Match!D21)</f>
        <v>League 2</v>
      </c>
      <c r="E18" s="58" t="str">
        <f>IF(Match!U18="","",Match!U18)</f>
        <v>Oldham  v  Salford   6/4  13/5  17/20</v>
      </c>
      <c r="F18" s="58" t="str">
        <f>IF(Match!V18="","",Match!V18)</f>
        <v xml:space="preserve">Oldham 1-4 Salford </v>
      </c>
      <c r="G18" s="32" t="str">
        <f t="shared" si="0"/>
        <v>Oldham</v>
      </c>
      <c r="H18" s="33" t="str">
        <f t="shared" si="1"/>
        <v>6/4</v>
      </c>
      <c r="I18" s="171">
        <f t="shared" si="3"/>
        <v>2.5</v>
      </c>
      <c r="J18" s="33">
        <f>INDEX(Picks!W:W,MATCH(G18,Picks!U:U,0))</f>
        <v>0</v>
      </c>
      <c r="K18" s="33">
        <f>IF(INDEX(Match!P:P,MATCH(A18,Match!A:A,0))="OFF",0,1)</f>
        <v>1</v>
      </c>
      <c r="L18" t="str">
        <f>INDEX(Match!Q:Q,MATCH(E18,Match!U:U,0))</f>
        <v>Oldham</v>
      </c>
      <c r="M18" t="str">
        <f>INDEX(Match!X:X,MATCH(E18,Match!U:U,0))</f>
        <v>6/4</v>
      </c>
      <c r="N18" t="str">
        <f>INDEX(Match!R:R,MATCH(E18,Match!U:U,0))</f>
        <v>Salford</v>
      </c>
      <c r="O18" t="str">
        <f>INDEX(Match!Y:Y,MATCH(E18,Match!U:U,0))</f>
        <v>13/5</v>
      </c>
      <c r="P18" t="str">
        <f>INDEX(Match!Z:Z,MATCH(E18,Match!U:U,0))</f>
        <v>17/20</v>
      </c>
      <c r="Q18" s="168">
        <f>INDEX(Match!AA:AA,MATCH(E18,Match!U:U,0))</f>
        <v>2.5</v>
      </c>
      <c r="R18" s="168">
        <f>INDEX(Match!AB:AB,MATCH(E18,Match!U:U,0))</f>
        <v>3.6</v>
      </c>
      <c r="S18" s="168">
        <f>INDEX(Match!AC:AC,MATCH(E18,Match!U:U,0))</f>
        <v>1.85</v>
      </c>
    </row>
    <row r="19" spans="1:19">
      <c r="A19" s="4">
        <v>18</v>
      </c>
      <c r="B19" s="90">
        <f>IF(Match!B19="","",Match!B19)</f>
        <v>46291</v>
      </c>
      <c r="C19" s="455">
        <f t="shared" si="2"/>
        <v>7</v>
      </c>
      <c r="D19" s="59" t="str">
        <f>IF(Match!D19="","",Match!D19)</f>
        <v>League 2</v>
      </c>
      <c r="E19" s="58" t="str">
        <f>IF(Match!U19="","",Match!U19)</f>
        <v>Rotherham  v  Crewe   11/10  12/5  21/10</v>
      </c>
      <c r="F19" s="58" t="str">
        <f>IF(Match!V19="","",Match!V19)</f>
        <v xml:space="preserve">Rotherham 1-1 Crewe </v>
      </c>
      <c r="G19" s="32" t="str">
        <f t="shared" si="0"/>
        <v>Rotherham</v>
      </c>
      <c r="H19" s="33" t="str">
        <f t="shared" si="1"/>
        <v>11/10</v>
      </c>
      <c r="I19" s="171">
        <f t="shared" si="3"/>
        <v>2.1</v>
      </c>
      <c r="J19" s="33">
        <f>INDEX(Picks!W:W,MATCH(G19,Picks!U:U,0))</f>
        <v>0</v>
      </c>
      <c r="K19" s="33">
        <f>IF(INDEX(Match!P:P,MATCH(A19,Match!A:A,0))="OFF",0,1)</f>
        <v>1</v>
      </c>
      <c r="L19" t="str">
        <f>INDEX(Match!Q:Q,MATCH(E19,Match!U:U,0))</f>
        <v>Rotherham</v>
      </c>
      <c r="M19" t="str">
        <f>INDEX(Match!X:X,MATCH(E19,Match!U:U,0))</f>
        <v>11/10</v>
      </c>
      <c r="N19" t="str">
        <f>INDEX(Match!R:R,MATCH(E19,Match!U:U,0))</f>
        <v>Crewe</v>
      </c>
      <c r="O19" t="str">
        <f>INDEX(Match!Y:Y,MATCH(E19,Match!U:U,0))</f>
        <v>12/5</v>
      </c>
      <c r="P19" t="str">
        <f>INDEX(Match!Z:Z,MATCH(E19,Match!U:U,0))</f>
        <v>21/10</v>
      </c>
      <c r="Q19" s="168">
        <f>INDEX(Match!AA:AA,MATCH(E19,Match!U:U,0))</f>
        <v>2.1</v>
      </c>
      <c r="R19" s="168">
        <f>INDEX(Match!AB:AB,MATCH(E19,Match!U:U,0))</f>
        <v>3.4</v>
      </c>
      <c r="S19" s="168">
        <f>INDEX(Match!AC:AC,MATCH(E19,Match!U:U,0))</f>
        <v>3.1</v>
      </c>
    </row>
    <row r="20" spans="1:19">
      <c r="A20" s="4">
        <v>19</v>
      </c>
      <c r="B20" s="90">
        <f>IF(Match!B20="","",Match!B20)</f>
        <v>46291</v>
      </c>
      <c r="C20" s="455">
        <f t="shared" si="2"/>
        <v>7</v>
      </c>
      <c r="D20" s="59" t="str">
        <f>IF(Match!D20="","",Match!D20)</f>
        <v>League 2</v>
      </c>
      <c r="E20" s="58" t="str">
        <f>IF(Match!U20="","",Match!U20)</f>
        <v>Shrewsbury  v  Colchester   6/4  2/1  17/10</v>
      </c>
      <c r="F20" s="58" t="str">
        <f>IF(Match!V20="","",Match!V20)</f>
        <v xml:space="preserve">Shrewsbury 2-2 Colchester </v>
      </c>
      <c r="G20" s="32" t="str">
        <f t="shared" si="0"/>
        <v>Shrewsbury</v>
      </c>
      <c r="H20" s="33" t="str">
        <f t="shared" si="1"/>
        <v>6/4</v>
      </c>
      <c r="I20" s="171">
        <f t="shared" si="3"/>
        <v>2.5</v>
      </c>
      <c r="J20" s="33">
        <f>INDEX(Picks!W:W,MATCH(G20,Picks!U:U,0))</f>
        <v>0</v>
      </c>
      <c r="K20" s="33">
        <f>IF(INDEX(Match!P:P,MATCH(A20,Match!A:A,0))="OFF",0,1)</f>
        <v>1</v>
      </c>
      <c r="L20" t="str">
        <f>INDEX(Match!Q:Q,MATCH(E20,Match!U:U,0))</f>
        <v>Shrewsbury</v>
      </c>
      <c r="M20" t="str">
        <f>INDEX(Match!X:X,MATCH(E20,Match!U:U,0))</f>
        <v>6/4</v>
      </c>
      <c r="N20" t="str">
        <f>INDEX(Match!R:R,MATCH(E20,Match!U:U,0))</f>
        <v>Colchester</v>
      </c>
      <c r="O20" t="str">
        <f>INDEX(Match!Y:Y,MATCH(E20,Match!U:U,0))</f>
        <v>2/1</v>
      </c>
      <c r="P20" t="str">
        <f>INDEX(Match!Z:Z,MATCH(E20,Match!U:U,0))</f>
        <v>17/10</v>
      </c>
      <c r="Q20" s="168">
        <f>INDEX(Match!AA:AA,MATCH(E20,Match!U:U,0))</f>
        <v>2.5</v>
      </c>
      <c r="R20" s="168">
        <f>INDEX(Match!AB:AB,MATCH(E20,Match!U:U,0))</f>
        <v>3</v>
      </c>
      <c r="S20" s="168">
        <f>INDEX(Match!AC:AC,MATCH(E20,Match!U:U,0))</f>
        <v>2.7</v>
      </c>
    </row>
    <row r="21" spans="1:19">
      <c r="A21" s="4">
        <v>20</v>
      </c>
      <c r="B21" s="90">
        <f>IF(Match!B21="","",Match!B21)</f>
        <v>46291</v>
      </c>
      <c r="C21" s="455">
        <f t="shared" si="2"/>
        <v>7</v>
      </c>
      <c r="D21" s="59" t="str">
        <f>IF(Match!D21="","",Match!D21)</f>
        <v>League 2</v>
      </c>
      <c r="E21" s="58" t="str">
        <f>IF(Match!U21="","",Match!U21)</f>
        <v>Swindon  v  Accrington   21/20  12/5  11/5</v>
      </c>
      <c r="F21" s="58" t="str">
        <f>IF(Match!V21="","",Match!V21)</f>
        <v xml:space="preserve">Swindon 1-1 Accrington </v>
      </c>
      <c r="G21" s="32" t="str">
        <f t="shared" si="0"/>
        <v>Swindon</v>
      </c>
      <c r="H21" s="33" t="str">
        <f t="shared" si="1"/>
        <v>21/20</v>
      </c>
      <c r="I21" s="171">
        <f t="shared" si="3"/>
        <v>2.0499999999999998</v>
      </c>
      <c r="J21" s="33">
        <f>INDEX(Picks!W:W,MATCH(G21,Picks!U:U,0))</f>
        <v>0</v>
      </c>
      <c r="K21" s="33">
        <f>IF(INDEX(Match!P:P,MATCH(A21,Match!A:A,0))="OFF",0,1)</f>
        <v>1</v>
      </c>
      <c r="L21" t="str">
        <f>INDEX(Match!Q:Q,MATCH(E21,Match!U:U,0))</f>
        <v>Swindon</v>
      </c>
      <c r="M21" t="str">
        <f>INDEX(Match!X:X,MATCH(E21,Match!U:U,0))</f>
        <v>21/20</v>
      </c>
      <c r="N21" t="str">
        <f>INDEX(Match!R:R,MATCH(E21,Match!U:U,0))</f>
        <v>Accrington</v>
      </c>
      <c r="O21" t="str">
        <f>INDEX(Match!Y:Y,MATCH(E21,Match!U:U,0))</f>
        <v>12/5</v>
      </c>
      <c r="P21" t="str">
        <f>INDEX(Match!Z:Z,MATCH(E21,Match!U:U,0))</f>
        <v>11/5</v>
      </c>
      <c r="Q21" s="168">
        <f>INDEX(Match!AA:AA,MATCH(E21,Match!U:U,0))</f>
        <v>2.0499999999999998</v>
      </c>
      <c r="R21" s="168">
        <f>INDEX(Match!AB:AB,MATCH(E21,Match!U:U,0))</f>
        <v>3.4</v>
      </c>
      <c r="S21" s="168">
        <f>INDEX(Match!AC:AC,MATCH(E21,Match!U:U,0))</f>
        <v>3.2</v>
      </c>
    </row>
    <row r="22" spans="1:19">
      <c r="A22" s="4">
        <v>21</v>
      </c>
      <c r="B22" s="90">
        <f>IF(Match!B22="","",Match!B22)</f>
        <v>46291</v>
      </c>
      <c r="C22" s="455">
        <f t="shared" si="2"/>
        <v>7</v>
      </c>
      <c r="D22" s="59" t="str">
        <f>IF(Match!D22="","",Match!D22)</f>
        <v>League 2</v>
      </c>
      <c r="E22" s="58" t="str">
        <f>IF(Match!U22="","",Match!U22)</f>
        <v>Tranmere  v  Walsall   6/4  21/10  17/10</v>
      </c>
      <c r="F22" s="58" t="str">
        <f>IF(Match!V22="","",Match!V22)</f>
        <v xml:space="preserve">Tranmere 1-1 Walsall </v>
      </c>
      <c r="G22" s="32" t="str">
        <f t="shared" si="0"/>
        <v>Tranmere</v>
      </c>
      <c r="H22" s="33" t="str">
        <f t="shared" si="1"/>
        <v>6/4</v>
      </c>
      <c r="I22" s="171">
        <f t="shared" si="3"/>
        <v>2.5</v>
      </c>
      <c r="J22" s="33">
        <f>INDEX(Picks!W:W,MATCH(G22,Picks!U:U,0))</f>
        <v>0</v>
      </c>
      <c r="K22" s="33">
        <f>IF(INDEX(Match!P:P,MATCH(A22,Match!A:A,0))="OFF",0,1)</f>
        <v>1</v>
      </c>
      <c r="L22" t="str">
        <f>INDEX(Match!Q:Q,MATCH(E22,Match!U:U,0))</f>
        <v>Tranmere</v>
      </c>
      <c r="M22" t="str">
        <f>INDEX(Match!X:X,MATCH(E22,Match!U:U,0))</f>
        <v>6/4</v>
      </c>
      <c r="N22" t="str">
        <f>INDEX(Match!R:R,MATCH(E22,Match!U:U,0))</f>
        <v>Walsall</v>
      </c>
      <c r="O22" t="str">
        <f>INDEX(Match!Y:Y,MATCH(E22,Match!U:U,0))</f>
        <v>21/10</v>
      </c>
      <c r="P22" t="str">
        <f>INDEX(Match!Z:Z,MATCH(E22,Match!U:U,0))</f>
        <v>17/10</v>
      </c>
      <c r="Q22" s="168">
        <f>INDEX(Match!AA:AA,MATCH(E22,Match!U:U,0))</f>
        <v>2.5</v>
      </c>
      <c r="R22" s="168">
        <f>INDEX(Match!AB:AB,MATCH(E22,Match!U:U,0))</f>
        <v>3.1</v>
      </c>
      <c r="S22" s="168">
        <f>INDEX(Match!AC:AC,MATCH(E22,Match!U:U,0))</f>
        <v>2.7</v>
      </c>
    </row>
    <row r="23" spans="1:19">
      <c r="A23" s="4">
        <v>22</v>
      </c>
      <c r="B23" s="90">
        <f>IF(Match!B23="","",Match!B23)</f>
        <v>46291</v>
      </c>
      <c r="C23" s="455">
        <f t="shared" si="2"/>
        <v>7</v>
      </c>
      <c r="D23" s="59" t="str">
        <f>IF(Match!D23="","",Match!D23)</f>
        <v>League 2</v>
      </c>
      <c r="E23" s="58" t="str">
        <f>IF(Match!U23="","",Match!U23)</f>
        <v>York  v  Gillingham   1/2  17/5  4/1</v>
      </c>
      <c r="F23" s="58" t="str">
        <f>IF(Match!V23="","",Match!V23)</f>
        <v xml:space="preserve">York 3-0 Gillingham </v>
      </c>
      <c r="G23" s="32" t="str">
        <f t="shared" si="0"/>
        <v>York</v>
      </c>
      <c r="H23" s="33" t="str">
        <f t="shared" si="1"/>
        <v>1/2</v>
      </c>
      <c r="I23" s="171">
        <f t="shared" si="3"/>
        <v>1.5</v>
      </c>
      <c r="J23" s="33">
        <f>INDEX(Picks!W:W,MATCH(G23,Picks!U:U,0))</f>
        <v>1</v>
      </c>
      <c r="K23" s="33">
        <f>IF(INDEX(Match!P:P,MATCH(A23,Match!A:A,0))="OFF",0,1)</f>
        <v>1</v>
      </c>
      <c r="L23" t="str">
        <f>INDEX(Match!Q:Q,MATCH(E23,Match!U:U,0))</f>
        <v>York</v>
      </c>
      <c r="M23" t="str">
        <f>INDEX(Match!X:X,MATCH(E23,Match!U:U,0))</f>
        <v>1/2</v>
      </c>
      <c r="N23" t="str">
        <f>INDEX(Match!R:R,MATCH(E23,Match!U:U,0))</f>
        <v>Gillingham</v>
      </c>
      <c r="O23" t="str">
        <f>INDEX(Match!Y:Y,MATCH(E23,Match!U:U,0))</f>
        <v>17/5</v>
      </c>
      <c r="P23" t="str">
        <f>INDEX(Match!Z:Z,MATCH(E23,Match!U:U,0))</f>
        <v>4/1</v>
      </c>
      <c r="Q23" s="168">
        <f>INDEX(Match!AA:AA,MATCH(E23,Match!U:U,0))</f>
        <v>1.5</v>
      </c>
      <c r="R23" s="168">
        <f>INDEX(Match!AB:AB,MATCH(E23,Match!U:U,0))</f>
        <v>4.4000000000000004</v>
      </c>
      <c r="S23" s="168">
        <f>INDEX(Match!AC:AC,MATCH(E23,Match!U:U,0))</f>
        <v>5</v>
      </c>
    </row>
    <row r="24" spans="1:19">
      <c r="A24" s="4">
        <v>23</v>
      </c>
      <c r="B24" s="90">
        <f>IF(Match!B24="","",Match!B24)</f>
        <v>46291</v>
      </c>
      <c r="C24" s="455">
        <f t="shared" si="2"/>
        <v>7</v>
      </c>
      <c r="D24" s="59" t="str">
        <f>IF(Match!D24="","",Match!D24)</f>
        <v>Nations</v>
      </c>
      <c r="E24" s="58" t="str">
        <f>IF(Match!U24="","",Match!U24)</f>
        <v>Albania  v  Belarus   1/2  14/5  6/1</v>
      </c>
      <c r="F24" s="58" t="str">
        <f>IF(Match!V24="","",Match!V24)</f>
        <v xml:space="preserve">Albania 2-0 Belarus </v>
      </c>
      <c r="G24" s="32" t="str">
        <f t="shared" si="0"/>
        <v>Albania</v>
      </c>
      <c r="H24" s="33" t="str">
        <f t="shared" si="1"/>
        <v>1/2</v>
      </c>
      <c r="I24" s="171">
        <f t="shared" si="3"/>
        <v>1.5</v>
      </c>
      <c r="J24" s="33">
        <f>INDEX(Picks!W:W,MATCH(G24,Picks!U:U,0))</f>
        <v>1</v>
      </c>
      <c r="K24" s="33">
        <f>IF(INDEX(Match!P:P,MATCH(A24,Match!A:A,0))="OFF",0,1)</f>
        <v>1</v>
      </c>
      <c r="L24" t="str">
        <f>INDEX(Match!Q:Q,MATCH(E24,Match!U:U,0))</f>
        <v>Albania</v>
      </c>
      <c r="M24" t="str">
        <f>INDEX(Match!X:X,MATCH(E24,Match!U:U,0))</f>
        <v>1/2</v>
      </c>
      <c r="N24" t="str">
        <f>INDEX(Match!R:R,MATCH(E24,Match!U:U,0))</f>
        <v>Belarus</v>
      </c>
      <c r="O24" t="str">
        <f>INDEX(Match!Y:Y,MATCH(E24,Match!U:U,0))</f>
        <v>14/5</v>
      </c>
      <c r="P24" t="str">
        <f>INDEX(Match!Z:Z,MATCH(E24,Match!U:U,0))</f>
        <v>6/1</v>
      </c>
      <c r="Q24" s="168">
        <f>INDEX(Match!AA:AA,MATCH(E24,Match!U:U,0))</f>
        <v>1.5</v>
      </c>
      <c r="R24" s="168">
        <f>INDEX(Match!AB:AB,MATCH(E24,Match!U:U,0))</f>
        <v>3.8</v>
      </c>
      <c r="S24" s="168">
        <f>INDEX(Match!AC:AC,MATCH(E24,Match!U:U,0))</f>
        <v>7</v>
      </c>
    </row>
    <row r="25" spans="1:19">
      <c r="A25" s="4">
        <v>24</v>
      </c>
      <c r="B25" s="90">
        <f>IF(Match!B25="","",Match!B25)</f>
        <v>46291</v>
      </c>
      <c r="C25" s="455">
        <f t="shared" si="2"/>
        <v>7</v>
      </c>
      <c r="D25" s="59" t="str">
        <f>IF(Match!D25="","",Match!D25)</f>
        <v>Nations</v>
      </c>
      <c r="E25" s="58" t="str">
        <f>IF(Match!U25="","",Match!U25)</f>
        <v>Bulgaria  v  Luxembourg   6/5  2/1  23/10</v>
      </c>
      <c r="F25" s="58" t="str">
        <f>IF(Match!V25="","",Match!V25)</f>
        <v xml:space="preserve">Bulgaria 1-2 Luxembourg </v>
      </c>
      <c r="G25" s="32" t="str">
        <f t="shared" si="0"/>
        <v>Bulgaria</v>
      </c>
      <c r="H25" s="33" t="str">
        <f t="shared" si="1"/>
        <v>6/5</v>
      </c>
      <c r="I25" s="171">
        <f t="shared" si="3"/>
        <v>2.2000000000000002</v>
      </c>
      <c r="J25" s="33">
        <f>INDEX(Picks!W:W,MATCH(G25,Picks!U:U,0))</f>
        <v>0</v>
      </c>
      <c r="K25" s="33">
        <f>IF(INDEX(Match!P:P,MATCH(A25,Match!A:A,0))="OFF",0,1)</f>
        <v>1</v>
      </c>
      <c r="L25" t="str">
        <f>INDEX(Match!Q:Q,MATCH(E25,Match!U:U,0))</f>
        <v>Bulgaria</v>
      </c>
      <c r="M25" t="str">
        <f>INDEX(Match!X:X,MATCH(E25,Match!U:U,0))</f>
        <v>6/5</v>
      </c>
      <c r="N25" t="str">
        <f>INDEX(Match!R:R,MATCH(E25,Match!U:U,0))</f>
        <v>Luxembourg</v>
      </c>
      <c r="O25" t="str">
        <f>INDEX(Match!Y:Y,MATCH(E25,Match!U:U,0))</f>
        <v>2/1</v>
      </c>
      <c r="P25" t="str">
        <f>INDEX(Match!Z:Z,MATCH(E25,Match!U:U,0))</f>
        <v>23/10</v>
      </c>
      <c r="Q25" s="168">
        <f>INDEX(Match!AA:AA,MATCH(E25,Match!U:U,0))</f>
        <v>2.2000000000000002</v>
      </c>
      <c r="R25" s="168">
        <f>INDEX(Match!AB:AB,MATCH(E25,Match!U:U,0))</f>
        <v>3</v>
      </c>
      <c r="S25" s="168">
        <f>INDEX(Match!AC:AC,MATCH(E25,Match!U:U,0))</f>
        <v>3.3</v>
      </c>
    </row>
    <row r="26" spans="1:19">
      <c r="A26" s="4">
        <v>25</v>
      </c>
      <c r="B26" s="90">
        <f>IF(Match!B26="","",Match!B26)</f>
        <v>46291</v>
      </c>
      <c r="C26" s="455">
        <f t="shared" si="2"/>
        <v>7</v>
      </c>
      <c r="D26" s="59" t="str">
        <f>IF(Match!D26="","",Match!D26)</f>
        <v>Nations</v>
      </c>
      <c r="E26" s="58" t="str">
        <f>IF(Match!U26="","",Match!U26)</f>
        <v>Czech  v  Croatia   11/5  23/10  23/20</v>
      </c>
      <c r="F26" s="58" t="str">
        <f>IF(Match!V26="","",Match!V26)</f>
        <v xml:space="preserve">Czech 1-2 Croatia </v>
      </c>
      <c r="G26" s="32" t="str">
        <f t="shared" si="0"/>
        <v>Czech</v>
      </c>
      <c r="H26" s="33" t="str">
        <f t="shared" si="1"/>
        <v>11/5</v>
      </c>
      <c r="I26" s="171">
        <f t="shared" si="3"/>
        <v>3.2</v>
      </c>
      <c r="J26" s="33">
        <f>INDEX(Picks!W:W,MATCH(G26,Picks!U:U,0))</f>
        <v>0</v>
      </c>
      <c r="K26" s="33">
        <f>IF(INDEX(Match!P:P,MATCH(A26,Match!A:A,0))="OFF",0,1)</f>
        <v>1</v>
      </c>
      <c r="L26" t="str">
        <f>INDEX(Match!Q:Q,MATCH(E26,Match!U:U,0))</f>
        <v>Czech</v>
      </c>
      <c r="M26" t="str">
        <f>INDEX(Match!X:X,MATCH(E26,Match!U:U,0))</f>
        <v>11/5</v>
      </c>
      <c r="N26" t="str">
        <f>INDEX(Match!R:R,MATCH(E26,Match!U:U,0))</f>
        <v>Croatia</v>
      </c>
      <c r="O26" t="str">
        <f>INDEX(Match!Y:Y,MATCH(E26,Match!U:U,0))</f>
        <v>23/10</v>
      </c>
      <c r="P26" t="str">
        <f>INDEX(Match!Z:Z,MATCH(E26,Match!U:U,0))</f>
        <v>23/20</v>
      </c>
      <c r="Q26" s="168">
        <f>INDEX(Match!AA:AA,MATCH(E26,Match!U:U,0))</f>
        <v>3.2</v>
      </c>
      <c r="R26" s="168">
        <f>INDEX(Match!AB:AB,MATCH(E26,Match!U:U,0))</f>
        <v>3.3</v>
      </c>
      <c r="S26" s="168">
        <f>INDEX(Match!AC:AC,MATCH(E26,Match!U:U,0))</f>
        <v>2.15</v>
      </c>
    </row>
    <row r="27" spans="1:19">
      <c r="A27" s="4">
        <v>26</v>
      </c>
      <c r="B27" s="90">
        <f>IF(Match!B27="","",Match!B27)</f>
        <v>46291</v>
      </c>
      <c r="C27" s="455">
        <f t="shared" si="2"/>
        <v>7</v>
      </c>
      <c r="D27" s="59" t="str">
        <f>IF(Match!D27="","",Match!D27)</f>
        <v>Nations</v>
      </c>
      <c r="E27" s="58" t="str">
        <f>IF(Match!U27="","",Match!U27)</f>
        <v>England  v  Spain   9/5  21/10  7/5</v>
      </c>
      <c r="F27" s="58" t="str">
        <f>IF(Match!V27="","",Match!V27)</f>
        <v xml:space="preserve">England 2-3 Spain </v>
      </c>
      <c r="G27" s="32" t="str">
        <f t="shared" si="0"/>
        <v>England</v>
      </c>
      <c r="H27" s="33" t="str">
        <f t="shared" si="1"/>
        <v>9/5</v>
      </c>
      <c r="I27" s="171">
        <f t="shared" si="3"/>
        <v>2.8</v>
      </c>
      <c r="J27" s="33">
        <f>INDEX(Picks!W:W,MATCH(G27,Picks!U:U,0))</f>
        <v>0</v>
      </c>
      <c r="K27" s="33">
        <f>IF(INDEX(Match!P:P,MATCH(A27,Match!A:A,0))="OFF",0,1)</f>
        <v>1</v>
      </c>
      <c r="L27" t="str">
        <f>INDEX(Match!Q:Q,MATCH(E27,Match!U:U,0))</f>
        <v>England</v>
      </c>
      <c r="M27" t="str">
        <f>INDEX(Match!X:X,MATCH(E27,Match!U:U,0))</f>
        <v>9/5</v>
      </c>
      <c r="N27" t="str">
        <f>INDEX(Match!R:R,MATCH(E27,Match!U:U,0))</f>
        <v>Spain</v>
      </c>
      <c r="O27" t="str">
        <f>INDEX(Match!Y:Y,MATCH(E27,Match!U:U,0))</f>
        <v>21/10</v>
      </c>
      <c r="P27" t="str">
        <f>INDEX(Match!Z:Z,MATCH(E27,Match!U:U,0))</f>
        <v>7/5</v>
      </c>
      <c r="Q27" s="168">
        <f>INDEX(Match!AA:AA,MATCH(E27,Match!U:U,0))</f>
        <v>2.8</v>
      </c>
      <c r="R27" s="168">
        <f>INDEX(Match!AB:AB,MATCH(E27,Match!U:U,0))</f>
        <v>3.1</v>
      </c>
      <c r="S27" s="168">
        <f>INDEX(Match!AC:AC,MATCH(E27,Match!U:U,0))</f>
        <v>2.4</v>
      </c>
    </row>
    <row r="28" spans="1:19">
      <c r="A28" s="4">
        <v>27</v>
      </c>
      <c r="B28" s="90">
        <f>IF(Match!B28="","",Match!B28)</f>
        <v>46291</v>
      </c>
      <c r="C28" s="455">
        <f t="shared" si="2"/>
        <v>7</v>
      </c>
      <c r="D28" s="59" t="str">
        <f>IF(Match!D28="","",Match!D28)</f>
        <v>Nations</v>
      </c>
      <c r="E28" s="58" t="str">
        <f>IF(Match!U28="","",Match!U28)</f>
        <v>Faroe Islands  v  Kazakhstan   13/10  2/1  21/10</v>
      </c>
      <c r="F28" s="58" t="str">
        <f>IF(Match!V28="","",Match!V28)</f>
        <v xml:space="preserve">Faroe Islands 1-1 Kazakhstan </v>
      </c>
      <c r="G28" s="32" t="str">
        <f t="shared" si="0"/>
        <v>Faroe Islands</v>
      </c>
      <c r="H28" s="33" t="str">
        <f t="shared" si="1"/>
        <v>13/10</v>
      </c>
      <c r="I28" s="171">
        <f t="shared" si="3"/>
        <v>2.2999999999999998</v>
      </c>
      <c r="J28" s="33">
        <f>INDEX(Picks!W:W,MATCH(G28,Picks!U:U,0))</f>
        <v>0</v>
      </c>
      <c r="K28" s="33">
        <f>IF(INDEX(Match!P:P,MATCH(A28,Match!A:A,0))="OFF",0,1)</f>
        <v>1</v>
      </c>
      <c r="L28" t="str">
        <f>INDEX(Match!Q:Q,MATCH(E28,Match!U:U,0))</f>
        <v>Faroe Islands</v>
      </c>
      <c r="M28" t="str">
        <f>INDEX(Match!X:X,MATCH(E28,Match!U:U,0))</f>
        <v>13/10</v>
      </c>
      <c r="N28" t="str">
        <f>INDEX(Match!R:R,MATCH(E28,Match!U:U,0))</f>
        <v>Kazakhstan</v>
      </c>
      <c r="O28" t="str">
        <f>INDEX(Match!Y:Y,MATCH(E28,Match!U:U,0))</f>
        <v>2/1</v>
      </c>
      <c r="P28" t="str">
        <f>INDEX(Match!Z:Z,MATCH(E28,Match!U:U,0))</f>
        <v>21/10</v>
      </c>
      <c r="Q28" s="168">
        <f>INDEX(Match!AA:AA,MATCH(E28,Match!U:U,0))</f>
        <v>2.2999999999999998</v>
      </c>
      <c r="R28" s="168">
        <f>INDEX(Match!AB:AB,MATCH(E28,Match!U:U,0))</f>
        <v>3</v>
      </c>
      <c r="S28" s="168">
        <f>INDEX(Match!AC:AC,MATCH(E28,Match!U:U,0))</f>
        <v>3.1</v>
      </c>
    </row>
    <row r="29" spans="1:19">
      <c r="A29" s="4">
        <v>28</v>
      </c>
      <c r="B29" s="90">
        <f>IF(Match!B29="","",Match!B29)</f>
        <v>46291</v>
      </c>
      <c r="C29" s="455">
        <f t="shared" si="2"/>
        <v>7</v>
      </c>
      <c r="D29" s="59" t="str">
        <f>IF(Match!D29="","",Match!D29)</f>
        <v>Nations</v>
      </c>
      <c r="E29" s="58" t="str">
        <f>IF(Match!U29="","",Match!U29)</f>
        <v>Iceland  v  Estonia   2/7  4/1  9/1</v>
      </c>
      <c r="F29" s="58" t="str">
        <f>IF(Match!V29="","",Match!V29)</f>
        <v xml:space="preserve">Iceland 1-1 Estonia </v>
      </c>
      <c r="G29" s="32" t="str">
        <f t="shared" si="0"/>
        <v>Iceland</v>
      </c>
      <c r="H29" s="33" t="str">
        <f t="shared" si="1"/>
        <v>2/7</v>
      </c>
      <c r="I29" s="171">
        <f t="shared" si="3"/>
        <v>1.2857142857142856</v>
      </c>
      <c r="J29" s="33">
        <f>INDEX(Picks!W:W,MATCH(G29,Picks!U:U,0))</f>
        <v>0</v>
      </c>
      <c r="K29" s="33">
        <f>IF(INDEX(Match!P:P,MATCH(A29,Match!A:A,0))="OFF",0,1)</f>
        <v>1</v>
      </c>
      <c r="L29" t="str">
        <f>INDEX(Match!Q:Q,MATCH(E29,Match!U:U,0))</f>
        <v>Iceland</v>
      </c>
      <c r="M29" t="str">
        <f>INDEX(Match!X:X,MATCH(E29,Match!U:U,0))</f>
        <v>2/7</v>
      </c>
      <c r="N29" t="str">
        <f>INDEX(Match!R:R,MATCH(E29,Match!U:U,0))</f>
        <v>Estonia</v>
      </c>
      <c r="O29" t="str">
        <f>INDEX(Match!Y:Y,MATCH(E29,Match!U:U,0))</f>
        <v>4/1</v>
      </c>
      <c r="P29" t="str">
        <f>INDEX(Match!Z:Z,MATCH(E29,Match!U:U,0))</f>
        <v>9/1</v>
      </c>
      <c r="Q29" s="168">
        <f>INDEX(Match!AA:AA,MATCH(E29,Match!U:U,0))</f>
        <v>1.2857142857142856</v>
      </c>
      <c r="R29" s="168">
        <f>INDEX(Match!AB:AB,MATCH(E29,Match!U:U,0))</f>
        <v>5</v>
      </c>
      <c r="S29" s="168">
        <f>INDEX(Match!AC:AC,MATCH(E29,Match!U:U,0))</f>
        <v>10</v>
      </c>
    </row>
    <row r="30" spans="1:19">
      <c r="A30" s="4">
        <v>29</v>
      </c>
      <c r="B30" s="90">
        <f>IF(Match!B30="","",Match!B30)</f>
        <v>46291</v>
      </c>
      <c r="C30" s="455">
        <f t="shared" si="2"/>
        <v>7</v>
      </c>
      <c r="D30" s="59" t="str">
        <f>IF(Match!D30="","",Match!D30)</f>
        <v>Nations</v>
      </c>
      <c r="E30" s="58" t="str">
        <f>IF(Match!U30="","",Match!U30)</f>
        <v>Macedonia  v  Switzerland   13/2  7/2  4/11</v>
      </c>
      <c r="F30" s="58" t="str">
        <f>IF(Match!V30="","",Match!V30)</f>
        <v xml:space="preserve">Macedonia 0-3 Switzerland </v>
      </c>
      <c r="G30" s="32" t="str">
        <f t="shared" si="0"/>
        <v>Macedonia</v>
      </c>
      <c r="H30" s="33" t="str">
        <f t="shared" si="1"/>
        <v>13/2</v>
      </c>
      <c r="I30" s="171">
        <f t="shared" si="3"/>
        <v>7.5</v>
      </c>
      <c r="J30" s="33">
        <f>INDEX(Picks!W:W,MATCH(G30,Picks!U:U,0))</f>
        <v>0</v>
      </c>
      <c r="K30" s="33">
        <f>IF(INDEX(Match!P:P,MATCH(A30,Match!A:A,0))="OFF",0,1)</f>
        <v>1</v>
      </c>
      <c r="L30" t="str">
        <f>INDEX(Match!Q:Q,MATCH(E30,Match!U:U,0))</f>
        <v>Macedonia</v>
      </c>
      <c r="M30" t="str">
        <f>INDEX(Match!X:X,MATCH(E30,Match!U:U,0))</f>
        <v>13/2</v>
      </c>
      <c r="N30" t="str">
        <f>INDEX(Match!R:R,MATCH(E30,Match!U:U,0))</f>
        <v>Switzerland</v>
      </c>
      <c r="O30" t="str">
        <f>INDEX(Match!Y:Y,MATCH(E30,Match!U:U,0))</f>
        <v>7/2</v>
      </c>
      <c r="P30" t="str">
        <f>INDEX(Match!Z:Z,MATCH(E30,Match!U:U,0))</f>
        <v>4/11</v>
      </c>
      <c r="Q30" s="168">
        <f>INDEX(Match!AA:AA,MATCH(E30,Match!U:U,0))</f>
        <v>7.5</v>
      </c>
      <c r="R30" s="168">
        <f>INDEX(Match!AB:AB,MATCH(E30,Match!U:U,0))</f>
        <v>4.5</v>
      </c>
      <c r="S30" s="168">
        <f>INDEX(Match!AC:AC,MATCH(E30,Match!U:U,0))</f>
        <v>1.3636363636363638</v>
      </c>
    </row>
    <row r="31" spans="1:19">
      <c r="A31" s="4">
        <v>30</v>
      </c>
      <c r="B31" s="90">
        <f>IF(Match!B31="","",Match!B31)</f>
        <v>46291</v>
      </c>
      <c r="C31" s="455">
        <f t="shared" si="2"/>
        <v>7</v>
      </c>
      <c r="D31" s="59" t="str">
        <f>IF(Match!D31="","",Match!D31)</f>
        <v>Nations</v>
      </c>
      <c r="E31" s="58" t="str">
        <f>IF(Match!U31="","",Match!U31)</f>
        <v>San Marino  v  Finland   35/1  15/2  1/10</v>
      </c>
      <c r="F31" s="58" t="str">
        <f>IF(Match!V31="","",Match!V31)</f>
        <v xml:space="preserve">San Marino 0-7 Finland </v>
      </c>
      <c r="G31" s="32" t="str">
        <f t="shared" si="0"/>
        <v>San Marino</v>
      </c>
      <c r="H31" s="33" t="str">
        <f t="shared" si="1"/>
        <v>35/1</v>
      </c>
      <c r="I31" s="171">
        <f t="shared" si="3"/>
        <v>36</v>
      </c>
      <c r="J31" s="33">
        <f>INDEX(Picks!W:W,MATCH(G31,Picks!U:U,0))</f>
        <v>0</v>
      </c>
      <c r="K31" s="33">
        <f>IF(INDEX(Match!P:P,MATCH(A31,Match!A:A,0))="OFF",0,1)</f>
        <v>1</v>
      </c>
      <c r="L31" t="str">
        <f>INDEX(Match!Q:Q,MATCH(E31,Match!U:U,0))</f>
        <v>San Marino</v>
      </c>
      <c r="M31" t="str">
        <f>INDEX(Match!X:X,MATCH(E31,Match!U:U,0))</f>
        <v>35/1</v>
      </c>
      <c r="N31" t="str">
        <f>INDEX(Match!R:R,MATCH(E31,Match!U:U,0))</f>
        <v>Finland</v>
      </c>
      <c r="O31" t="str">
        <f>INDEX(Match!Y:Y,MATCH(E31,Match!U:U,0))</f>
        <v>15/2</v>
      </c>
      <c r="P31" t="str">
        <f>INDEX(Match!Z:Z,MATCH(E31,Match!U:U,0))</f>
        <v>1/10</v>
      </c>
      <c r="Q31" s="168">
        <f>INDEX(Match!AA:AA,MATCH(E31,Match!U:U,0))</f>
        <v>36</v>
      </c>
      <c r="R31" s="168">
        <f>INDEX(Match!AB:AB,MATCH(E31,Match!U:U,0))</f>
        <v>8.5</v>
      </c>
      <c r="S31" s="168">
        <f>INDEX(Match!AC:AC,MATCH(E31,Match!U:U,0))</f>
        <v>1.1000000000000001</v>
      </c>
    </row>
    <row r="32" spans="1:19">
      <c r="A32" s="4">
        <v>31</v>
      </c>
      <c r="B32" s="90">
        <f>IF(Match!B32="","",Match!B32)</f>
        <v>46291</v>
      </c>
      <c r="C32" s="455">
        <f t="shared" si="2"/>
        <v>7</v>
      </c>
      <c r="D32" s="59" t="str">
        <f>IF(Match!D32="","",Match!D32)</f>
        <v>Nations</v>
      </c>
      <c r="E32" s="58" t="str">
        <f>IF(Match!U32="","",Match!U32)</f>
        <v>Slovakia  v  Moldova   1/4  4/1  10/1</v>
      </c>
      <c r="F32" s="58" t="str">
        <f>IF(Match!V32="","",Match!V32)</f>
        <v xml:space="preserve">Slovakia 2-0 Moldova </v>
      </c>
      <c r="G32" s="32" t="str">
        <f t="shared" si="0"/>
        <v>Slovakia</v>
      </c>
      <c r="H32" s="33" t="str">
        <f t="shared" si="1"/>
        <v>1/4</v>
      </c>
      <c r="I32" s="171">
        <f t="shared" si="3"/>
        <v>1.25</v>
      </c>
      <c r="J32" s="33">
        <f>INDEX(Picks!W:W,MATCH(G32,Picks!U:U,0))</f>
        <v>1</v>
      </c>
      <c r="K32" s="33">
        <f>IF(INDEX(Match!P:P,MATCH(A32,Match!A:A,0))="OFF",0,1)</f>
        <v>1</v>
      </c>
      <c r="L32" t="str">
        <f>INDEX(Match!Q:Q,MATCH(E32,Match!U:U,0))</f>
        <v>Slovakia</v>
      </c>
      <c r="M32" t="str">
        <f>INDEX(Match!X:X,MATCH(E32,Match!U:U,0))</f>
        <v>1/4</v>
      </c>
      <c r="N32" t="str">
        <f>INDEX(Match!R:R,MATCH(E32,Match!U:U,0))</f>
        <v>Moldova</v>
      </c>
      <c r="O32" t="str">
        <f>INDEX(Match!Y:Y,MATCH(E32,Match!U:U,0))</f>
        <v>4/1</v>
      </c>
      <c r="P32" t="str">
        <f>INDEX(Match!Z:Z,MATCH(E32,Match!U:U,0))</f>
        <v>10/1</v>
      </c>
      <c r="Q32" s="168">
        <f>INDEX(Match!AA:AA,MATCH(E32,Match!U:U,0))</f>
        <v>1.25</v>
      </c>
      <c r="R32" s="168">
        <f>INDEX(Match!AB:AB,MATCH(E32,Match!U:U,0))</f>
        <v>5</v>
      </c>
      <c r="S32" s="168">
        <f>INDEX(Match!AC:AC,MATCH(E32,Match!U:U,0))</f>
        <v>11</v>
      </c>
    </row>
    <row r="33" spans="1:19">
      <c r="A33" s="4">
        <v>32</v>
      </c>
      <c r="B33" s="90">
        <f>IF(Match!B33="","",Match!B33)</f>
        <v>46291</v>
      </c>
      <c r="C33" s="455">
        <f t="shared" si="2"/>
        <v>7</v>
      </c>
      <c r="D33" s="59" t="str">
        <f>IF(Match!D33="","",Match!D33)</f>
        <v>Nations</v>
      </c>
      <c r="E33" s="58" t="str">
        <f>IF(Match!U33="","",Match!U33)</f>
        <v>Slovenia  v  Scotland   8/5  2/1  17/10</v>
      </c>
      <c r="F33" s="58" t="str">
        <f>IF(Match!V33="","",Match!V33)</f>
        <v xml:space="preserve">Slovenia 0-0 Scotland </v>
      </c>
      <c r="G33" s="32" t="str">
        <f t="shared" ref="G33:G46" si="4">IF(E33="","",L33)</f>
        <v>Slovenia</v>
      </c>
      <c r="H33" s="33" t="str">
        <f t="shared" si="1"/>
        <v>8/5</v>
      </c>
      <c r="I33" s="171">
        <f t="shared" si="3"/>
        <v>2.6</v>
      </c>
      <c r="J33" s="33">
        <f>INDEX(Picks!W:W,MATCH(G33,Picks!U:U,0))</f>
        <v>0</v>
      </c>
      <c r="K33" s="33">
        <f>IF(INDEX(Match!P:P,MATCH(A33,Match!A:A,0))="OFF",0,1)</f>
        <v>1</v>
      </c>
      <c r="L33" t="str">
        <f>INDEX(Match!Q:Q,MATCH(E33,Match!U:U,0))</f>
        <v>Slovenia</v>
      </c>
      <c r="M33" t="str">
        <f>INDEX(Match!X:X,MATCH(E33,Match!U:U,0))</f>
        <v>8/5</v>
      </c>
      <c r="N33" t="str">
        <f>INDEX(Match!R:R,MATCH(E33,Match!U:U,0))</f>
        <v>Scotland</v>
      </c>
      <c r="O33" t="str">
        <f>INDEX(Match!Y:Y,MATCH(E33,Match!U:U,0))</f>
        <v>2/1</v>
      </c>
      <c r="P33" t="str">
        <f>INDEX(Match!Z:Z,MATCH(E33,Match!U:U,0))</f>
        <v>17/10</v>
      </c>
      <c r="Q33" s="168">
        <f>INDEX(Match!AA:AA,MATCH(E33,Match!U:U,0))</f>
        <v>2.6</v>
      </c>
      <c r="R33" s="168">
        <f>INDEX(Match!AB:AB,MATCH(E33,Match!U:U,0))</f>
        <v>3</v>
      </c>
      <c r="S33" s="168">
        <f>INDEX(Match!AC:AC,MATCH(E33,Match!U:U,0))</f>
        <v>2.7</v>
      </c>
    </row>
    <row r="34" spans="1:19">
      <c r="A34" s="4">
        <v>33</v>
      </c>
      <c r="B34" s="90">
        <f>IF(Match!B34="","",Match!B34)</f>
        <v>46292</v>
      </c>
      <c r="C34" s="455">
        <f t="shared" si="2"/>
        <v>1</v>
      </c>
      <c r="D34" s="59" t="str">
        <f>IF(Match!D34="","",Match!D34)</f>
        <v>Nat League</v>
      </c>
      <c r="E34" s="58" t="str">
        <f>IF(Match!U34="","",Match!U34)</f>
        <v>Aldershot  v  Tamworth   7/5  5/2  6/4</v>
      </c>
      <c r="F34" s="58" t="str">
        <f>IF(Match!V34="","",Match!V34)</f>
        <v xml:space="preserve">Aldershot 5-1 Tamworth </v>
      </c>
      <c r="G34" s="32" t="str">
        <f t="shared" si="4"/>
        <v>Aldershot</v>
      </c>
      <c r="H34" s="33" t="str">
        <f t="shared" si="1"/>
        <v>7/5</v>
      </c>
      <c r="I34" s="171">
        <f t="shared" si="3"/>
        <v>2.4</v>
      </c>
      <c r="J34" s="33">
        <f>INDEX(Picks!W:W,MATCH(G34,Picks!U:U,0))</f>
        <v>1</v>
      </c>
      <c r="K34" s="33">
        <f>IF(INDEX(Match!P:P,MATCH(A34,Match!A:A,0))="OFF",0,1)</f>
        <v>1</v>
      </c>
      <c r="L34" t="str">
        <f>INDEX(Match!Q:Q,MATCH(E34,Match!U:U,0))</f>
        <v>Aldershot</v>
      </c>
      <c r="M34" t="str">
        <f>INDEX(Match!X:X,MATCH(E34,Match!U:U,0))</f>
        <v>7/5</v>
      </c>
      <c r="N34" t="str">
        <f>INDEX(Match!R:R,MATCH(E34,Match!U:U,0))</f>
        <v>Tamworth</v>
      </c>
      <c r="O34" t="str">
        <f>INDEX(Match!Y:Y,MATCH(E34,Match!U:U,0))</f>
        <v>5/2</v>
      </c>
      <c r="P34" t="str">
        <f>INDEX(Match!Z:Z,MATCH(E34,Match!U:U,0))</f>
        <v>6/4</v>
      </c>
      <c r="Q34" s="168">
        <f>INDEX(Match!AA:AA,MATCH(E34,Match!U:U,0))</f>
        <v>2.4</v>
      </c>
      <c r="R34" s="168">
        <f>INDEX(Match!AB:AB,MATCH(E34,Match!U:U,0))</f>
        <v>3.5</v>
      </c>
      <c r="S34" s="168">
        <f>INDEX(Match!AC:AC,MATCH(E34,Match!U:U,0))</f>
        <v>2.5</v>
      </c>
    </row>
    <row r="35" spans="1:19">
      <c r="A35" s="4">
        <v>34</v>
      </c>
      <c r="B35" s="90">
        <f>IF(Match!B35="","",Match!B35)</f>
        <v>46292</v>
      </c>
      <c r="C35" s="455">
        <f t="shared" si="2"/>
        <v>1</v>
      </c>
      <c r="D35" s="59" t="str">
        <f>IF(Match!D35="","",Match!D35)</f>
        <v>Nat League</v>
      </c>
      <c r="E35" s="58" t="str">
        <f>IF(Match!U35="","",Match!U35)</f>
        <v>Altrincham  v  AFC Hornchurch   6/5  23/10  19/10</v>
      </c>
      <c r="F35" s="58" t="str">
        <f>IF(Match!V35="","",Match!V35)</f>
        <v xml:space="preserve">Altrincham 3-0 AFC Hornchurch </v>
      </c>
      <c r="G35" s="32" t="str">
        <f t="shared" si="4"/>
        <v>Altrincham</v>
      </c>
      <c r="H35" s="33" t="str">
        <f t="shared" si="1"/>
        <v>6/5</v>
      </c>
      <c r="I35" s="171">
        <f t="shared" si="3"/>
        <v>2.2000000000000002</v>
      </c>
      <c r="J35" s="33">
        <f>INDEX(Picks!W:W,MATCH(G35,Picks!U:U,0))</f>
        <v>1</v>
      </c>
      <c r="K35" s="33">
        <f>IF(INDEX(Match!P:P,MATCH(A35,Match!A:A,0))="OFF",0,1)</f>
        <v>1</v>
      </c>
      <c r="L35" t="str">
        <f>INDEX(Match!Q:Q,MATCH(E35,Match!U:U,0))</f>
        <v>Altrincham</v>
      </c>
      <c r="M35" t="str">
        <f>INDEX(Match!X:X,MATCH(E35,Match!U:U,0))</f>
        <v>6/5</v>
      </c>
      <c r="N35" t="str">
        <f>INDEX(Match!R:R,MATCH(E35,Match!U:U,0))</f>
        <v>AFC Hornchurch</v>
      </c>
      <c r="O35" t="str">
        <f>INDEX(Match!Y:Y,MATCH(E35,Match!U:U,0))</f>
        <v>23/10</v>
      </c>
      <c r="P35" t="str">
        <f>INDEX(Match!Z:Z,MATCH(E35,Match!U:U,0))</f>
        <v>19/10</v>
      </c>
      <c r="Q35" s="168">
        <f>INDEX(Match!AA:AA,MATCH(E35,Match!U:U,0))</f>
        <v>2.2000000000000002</v>
      </c>
      <c r="R35" s="168">
        <f>INDEX(Match!AB:AB,MATCH(E35,Match!U:U,0))</f>
        <v>3.3</v>
      </c>
      <c r="S35" s="168">
        <f>INDEX(Match!AC:AC,MATCH(E35,Match!U:U,0))</f>
        <v>2.9</v>
      </c>
    </row>
    <row r="36" spans="1:19">
      <c r="A36" s="4">
        <v>35</v>
      </c>
      <c r="B36" s="90">
        <f>IF(Match!B36="","",Match!B36)</f>
        <v>46292</v>
      </c>
      <c r="C36" s="455">
        <f t="shared" si="2"/>
        <v>1</v>
      </c>
      <c r="D36" s="59" t="str">
        <f>IF(Match!D36="","",Match!D36)</f>
        <v>Nat League</v>
      </c>
      <c r="E36" s="58" t="str">
        <f>IF(Match!U36="","",Match!U36)</f>
        <v>Scunthorpe  v  Hartlepool   21/20  12/5  11/5</v>
      </c>
      <c r="F36" s="58" t="str">
        <f>IF(Match!V36="","",Match!V36)</f>
        <v xml:space="preserve">Scunthorpe 4-1 Hartlepool </v>
      </c>
      <c r="G36" s="32" t="str">
        <f t="shared" si="4"/>
        <v>Scunthorpe</v>
      </c>
      <c r="H36" s="33" t="str">
        <f t="shared" si="1"/>
        <v>21/20</v>
      </c>
      <c r="I36" s="171">
        <f t="shared" si="3"/>
        <v>2.0499999999999998</v>
      </c>
      <c r="J36" s="33">
        <f>INDEX(Picks!W:W,MATCH(G36,Picks!U:U,0))</f>
        <v>1</v>
      </c>
      <c r="K36" s="33">
        <f>IF(INDEX(Match!P:P,MATCH(A36,Match!A:A,0))="OFF",0,1)</f>
        <v>1</v>
      </c>
      <c r="L36" t="str">
        <f>INDEX(Match!Q:Q,MATCH(E36,Match!U:U,0))</f>
        <v>Scunthorpe</v>
      </c>
      <c r="M36" t="str">
        <f>INDEX(Match!X:X,MATCH(E36,Match!U:U,0))</f>
        <v>21/20</v>
      </c>
      <c r="N36" t="str">
        <f>INDEX(Match!R:R,MATCH(E36,Match!U:U,0))</f>
        <v>Hartlepool</v>
      </c>
      <c r="O36" t="str">
        <f>INDEX(Match!Y:Y,MATCH(E36,Match!U:U,0))</f>
        <v>12/5</v>
      </c>
      <c r="P36" t="str">
        <f>INDEX(Match!Z:Z,MATCH(E36,Match!U:U,0))</f>
        <v>11/5</v>
      </c>
      <c r="Q36" s="168">
        <f>INDEX(Match!AA:AA,MATCH(E36,Match!U:U,0))</f>
        <v>2.0499999999999998</v>
      </c>
      <c r="R36" s="168">
        <f>INDEX(Match!AB:AB,MATCH(E36,Match!U:U,0))</f>
        <v>3.4</v>
      </c>
      <c r="S36" s="168">
        <f>INDEX(Match!AC:AC,MATCH(E36,Match!U:U,0))</f>
        <v>3.2</v>
      </c>
    </row>
    <row r="37" spans="1:19">
      <c r="A37" s="4">
        <v>36</v>
      </c>
      <c r="B37" s="90">
        <f>IF(Match!B37="","",Match!B37)</f>
        <v>46292</v>
      </c>
      <c r="C37" s="455">
        <f t="shared" si="2"/>
        <v>1</v>
      </c>
      <c r="D37" s="59" t="str">
        <f>IF(Match!D37="","",Match!D37)</f>
        <v>Nat League</v>
      </c>
      <c r="E37" s="58" t="str">
        <f>IF(Match!U37="","",Match!U37)</f>
        <v>Southend  v  Barrow   3/4  13/5  3/1</v>
      </c>
      <c r="F37" s="58" t="str">
        <f>IF(Match!V37="","",Match!V37)</f>
        <v xml:space="preserve">Southend 2-4 Barrow </v>
      </c>
      <c r="G37" s="32" t="str">
        <f t="shared" si="4"/>
        <v>Southend</v>
      </c>
      <c r="H37" s="33" t="str">
        <f t="shared" si="1"/>
        <v>3/4</v>
      </c>
      <c r="I37" s="171">
        <f t="shared" si="3"/>
        <v>1.75</v>
      </c>
      <c r="J37" s="33">
        <f>INDEX(Picks!W:W,MATCH(G37,Picks!U:U,0))</f>
        <v>0</v>
      </c>
      <c r="K37" s="33">
        <f>IF(INDEX(Match!P:P,MATCH(A37,Match!A:A,0))="OFF",0,1)</f>
        <v>1</v>
      </c>
      <c r="L37" t="str">
        <f>INDEX(Match!Q:Q,MATCH(E37,Match!U:U,0))</f>
        <v>Southend</v>
      </c>
      <c r="M37" t="str">
        <f>INDEX(Match!X:X,MATCH(E37,Match!U:U,0))</f>
        <v>3/4</v>
      </c>
      <c r="N37" t="str">
        <f>INDEX(Match!R:R,MATCH(E37,Match!U:U,0))</f>
        <v>Barrow</v>
      </c>
      <c r="O37" t="str">
        <f>INDEX(Match!Y:Y,MATCH(E37,Match!U:U,0))</f>
        <v>13/5</v>
      </c>
      <c r="P37" t="str">
        <f>INDEX(Match!Z:Z,MATCH(E37,Match!U:U,0))</f>
        <v>3/1</v>
      </c>
      <c r="Q37" s="168">
        <f>INDEX(Match!AA:AA,MATCH(E37,Match!U:U,0))</f>
        <v>1.75</v>
      </c>
      <c r="R37" s="168">
        <f>INDEX(Match!AB:AB,MATCH(E37,Match!U:U,0))</f>
        <v>3.6</v>
      </c>
      <c r="S37" s="168">
        <f>INDEX(Match!AC:AC,MATCH(E37,Match!U:U,0))</f>
        <v>4</v>
      </c>
    </row>
    <row r="38" spans="1:19">
      <c r="A38" s="4">
        <v>37</v>
      </c>
      <c r="B38" s="90">
        <f>IF(Match!B38="","",Match!B38)</f>
        <v>46292</v>
      </c>
      <c r="C38" s="455">
        <f t="shared" si="2"/>
        <v>1</v>
      </c>
      <c r="D38" s="59" t="str">
        <f>IF(Match!D38="","",Match!D38)</f>
        <v>Nations</v>
      </c>
      <c r="E38" s="58" t="str">
        <f>IF(Match!U38="","",Match!U38)</f>
        <v>Austria  v  Kosovo   1/2  3/1  24/5</v>
      </c>
      <c r="F38" s="58" t="str">
        <f>IF(Match!V38="","",Match!V38)</f>
        <v xml:space="preserve">Austria 3-1 Kosovo </v>
      </c>
      <c r="G38" s="32" t="str">
        <f t="shared" si="4"/>
        <v>Austria</v>
      </c>
      <c r="H38" s="33" t="str">
        <f t="shared" si="1"/>
        <v>1/2</v>
      </c>
      <c r="I38" s="171">
        <f t="shared" si="3"/>
        <v>1.5</v>
      </c>
      <c r="J38" s="33">
        <f>INDEX(Picks!W:W,MATCH(G38,Picks!U:U,0))</f>
        <v>1</v>
      </c>
      <c r="K38" s="33">
        <f>IF(INDEX(Match!P:P,MATCH(A38,Match!A:A,0))="OFF",0,1)</f>
        <v>1</v>
      </c>
      <c r="L38" t="str">
        <f>INDEX(Match!Q:Q,MATCH(E38,Match!U:U,0))</f>
        <v>Austria</v>
      </c>
      <c r="M38" t="str">
        <f>INDEX(Match!X:X,MATCH(E38,Match!U:U,0))</f>
        <v>1/2</v>
      </c>
      <c r="N38" t="str">
        <f>INDEX(Match!R:R,MATCH(E38,Match!U:U,0))</f>
        <v>Kosovo</v>
      </c>
      <c r="O38" t="str">
        <f>INDEX(Match!Y:Y,MATCH(E38,Match!U:U,0))</f>
        <v>3/1</v>
      </c>
      <c r="P38" t="str">
        <f>INDEX(Match!Z:Z,MATCH(E38,Match!U:U,0))</f>
        <v>24/5</v>
      </c>
      <c r="Q38" s="168">
        <f>INDEX(Match!AA:AA,MATCH(E38,Match!U:U,0))</f>
        <v>1.5</v>
      </c>
      <c r="R38" s="168">
        <f>INDEX(Match!AB:AB,MATCH(E38,Match!U:U,0))</f>
        <v>4</v>
      </c>
      <c r="S38" s="168">
        <f>INDEX(Match!AC:AC,MATCH(E38,Match!U:U,0))</f>
        <v>5.8</v>
      </c>
    </row>
    <row r="39" spans="1:19">
      <c r="A39" s="4">
        <v>38</v>
      </c>
      <c r="B39" s="90">
        <f>IF(Match!B39="","",Match!B39)</f>
        <v>46292</v>
      </c>
      <c r="C39" s="455">
        <f t="shared" si="2"/>
        <v>1</v>
      </c>
      <c r="D39" s="59" t="str">
        <f>IF(Match!D39="","",Match!D39)</f>
        <v>Nations</v>
      </c>
      <c r="E39" s="58" t="str">
        <f>IF(Match!U39="","",Match!U39)</f>
        <v>Denmark  v  Wales   13/20  27/10  4/1</v>
      </c>
      <c r="F39" s="58" t="str">
        <f>IF(Match!V39="","",Match!V39)</f>
        <v xml:space="preserve">Denmark 2-0 Wales </v>
      </c>
      <c r="G39" s="32" t="str">
        <f t="shared" si="4"/>
        <v>Denmark</v>
      </c>
      <c r="H39" s="33" t="str">
        <f t="shared" si="1"/>
        <v>13/20</v>
      </c>
      <c r="I39" s="171">
        <f t="shared" si="3"/>
        <v>1.65</v>
      </c>
      <c r="J39" s="33">
        <f>INDEX(Picks!W:W,MATCH(G39,Picks!U:U,0))</f>
        <v>1</v>
      </c>
      <c r="K39" s="33">
        <f>IF(INDEX(Match!P:P,MATCH(A39,Match!A:A,0))="OFF",0,1)</f>
        <v>1</v>
      </c>
      <c r="L39" t="str">
        <f>INDEX(Match!Q:Q,MATCH(E39,Match!U:U,0))</f>
        <v>Denmark</v>
      </c>
      <c r="M39" t="str">
        <f>INDEX(Match!X:X,MATCH(E39,Match!U:U,0))</f>
        <v>13/20</v>
      </c>
      <c r="N39" t="str">
        <f>INDEX(Match!R:R,MATCH(E39,Match!U:U,0))</f>
        <v>Wales</v>
      </c>
      <c r="O39" t="str">
        <f>INDEX(Match!Y:Y,MATCH(E39,Match!U:U,0))</f>
        <v>27/10</v>
      </c>
      <c r="P39" t="str">
        <f>INDEX(Match!Z:Z,MATCH(E39,Match!U:U,0))</f>
        <v>4/1</v>
      </c>
      <c r="Q39" s="168">
        <f>INDEX(Match!AA:AA,MATCH(E39,Match!U:U,0))</f>
        <v>1.65</v>
      </c>
      <c r="R39" s="168">
        <f>INDEX(Match!AB:AB,MATCH(E39,Match!U:U,0))</f>
        <v>3.7</v>
      </c>
      <c r="S39" s="168">
        <f>INDEX(Match!AC:AC,MATCH(E39,Match!U:U,0))</f>
        <v>5</v>
      </c>
    </row>
    <row r="40" spans="1:19">
      <c r="A40" s="4">
        <v>39</v>
      </c>
      <c r="B40" s="90">
        <f>IF(Match!B40="","",Match!B40)</f>
        <v>46292</v>
      </c>
      <c r="C40" s="455">
        <f t="shared" si="2"/>
        <v>1</v>
      </c>
      <c r="D40" s="59" t="str">
        <f>IF(Match!D40="","",Match!D40)</f>
        <v>Nations</v>
      </c>
      <c r="E40" s="58" t="str">
        <f>IF(Match!U40="","",Match!U40)</f>
        <v>Germany  v  Greece   4/11  19/5  6/1</v>
      </c>
      <c r="F40" s="58" t="str">
        <f>IF(Match!V40="","",Match!V40)</f>
        <v xml:space="preserve">Germany 0-1 Greece </v>
      </c>
      <c r="G40" s="32" t="str">
        <f t="shared" si="4"/>
        <v>Germany</v>
      </c>
      <c r="H40" s="33" t="str">
        <f t="shared" si="1"/>
        <v>4/11</v>
      </c>
      <c r="I40" s="171">
        <f t="shared" si="3"/>
        <v>1.3636363636363638</v>
      </c>
      <c r="J40" s="33">
        <f>INDEX(Picks!W:W,MATCH(G40,Picks!U:U,0))</f>
        <v>0</v>
      </c>
      <c r="K40" s="33">
        <f>IF(INDEX(Match!P:P,MATCH(A40,Match!A:A,0))="OFF",0,1)</f>
        <v>1</v>
      </c>
      <c r="L40" t="str">
        <f>INDEX(Match!Q:Q,MATCH(E40,Match!U:U,0))</f>
        <v>Germany</v>
      </c>
      <c r="M40" t="str">
        <f>INDEX(Match!X:X,MATCH(E40,Match!U:U,0))</f>
        <v>4/11</v>
      </c>
      <c r="N40" t="str">
        <f>INDEX(Match!R:R,MATCH(E40,Match!U:U,0))</f>
        <v>Greece</v>
      </c>
      <c r="O40" t="str">
        <f>INDEX(Match!Y:Y,MATCH(E40,Match!U:U,0))</f>
        <v>19/5</v>
      </c>
      <c r="P40" t="str">
        <f>INDEX(Match!Z:Z,MATCH(E40,Match!U:U,0))</f>
        <v>6/1</v>
      </c>
      <c r="Q40" s="168">
        <f>INDEX(Match!AA:AA,MATCH(E40,Match!U:U,0))</f>
        <v>1.3636363636363638</v>
      </c>
      <c r="R40" s="168">
        <f>INDEX(Match!AB:AB,MATCH(E40,Match!U:U,0))</f>
        <v>4.8</v>
      </c>
      <c r="S40" s="168">
        <f>INDEX(Match!AC:AC,MATCH(E40,Match!U:U,0))</f>
        <v>7</v>
      </c>
    </row>
    <row r="41" spans="1:19">
      <c r="A41" s="4">
        <v>40</v>
      </c>
      <c r="B41" s="90">
        <f>IF(Match!B41="","",Match!B41)</f>
        <v>46292</v>
      </c>
      <c r="C41" s="455">
        <f t="shared" si="2"/>
        <v>1</v>
      </c>
      <c r="D41" s="59" t="str">
        <f>IF(Match!D41="","",Match!D41)</f>
        <v>Nations</v>
      </c>
      <c r="E41" s="58" t="str">
        <f>IF(Match!U41="","",Match!U41)</f>
        <v>Gibraltar  v  Andorra   5/2  23/12  6/4</v>
      </c>
      <c r="F41" s="58" t="str">
        <f>IF(Match!V41="","",Match!V41)</f>
        <v xml:space="preserve">Gibraltar 0-0 Andorra </v>
      </c>
      <c r="G41" s="32" t="str">
        <f t="shared" si="4"/>
        <v>Gibraltar</v>
      </c>
      <c r="H41" s="33" t="str">
        <f t="shared" si="1"/>
        <v>5/2</v>
      </c>
      <c r="I41" s="171">
        <f t="shared" si="3"/>
        <v>3.5</v>
      </c>
      <c r="J41" s="33">
        <f>INDEX(Picks!W:W,MATCH(G41,Picks!U:U,0))</f>
        <v>0</v>
      </c>
      <c r="K41" s="33">
        <f>IF(INDEX(Match!P:P,MATCH(A41,Match!A:A,0))="OFF",0,1)</f>
        <v>1</v>
      </c>
      <c r="L41" t="str">
        <f>INDEX(Match!Q:Q,MATCH(E41,Match!U:U,0))</f>
        <v>Gibraltar</v>
      </c>
      <c r="M41" t="str">
        <f>INDEX(Match!X:X,MATCH(E41,Match!U:U,0))</f>
        <v>5/2</v>
      </c>
      <c r="N41" t="str">
        <f>INDEX(Match!R:R,MATCH(E41,Match!U:U,0))</f>
        <v>Andorra</v>
      </c>
      <c r="O41" t="str">
        <f>INDEX(Match!Y:Y,MATCH(E41,Match!U:U,0))</f>
        <v>23/12</v>
      </c>
      <c r="P41" t="str">
        <f>INDEX(Match!Z:Z,MATCH(E41,Match!U:U,0))</f>
        <v>6/4</v>
      </c>
      <c r="Q41" s="168">
        <f>INDEX(Match!AA:AA,MATCH(E41,Match!U:U,0))</f>
        <v>3.5</v>
      </c>
      <c r="R41" s="168">
        <f>INDEX(Match!AB:AB,MATCH(E41,Match!U:U,0))</f>
        <v>2.916666666666667</v>
      </c>
      <c r="S41" s="168">
        <f>INDEX(Match!AC:AC,MATCH(E41,Match!U:U,0))</f>
        <v>2.5</v>
      </c>
    </row>
    <row r="42" spans="1:19">
      <c r="A42" s="4">
        <v>41</v>
      </c>
      <c r="B42" s="90">
        <f>IF(Match!B42="","",Match!B42)</f>
        <v>46292</v>
      </c>
      <c r="C42" s="455">
        <f t="shared" si="2"/>
        <v>1</v>
      </c>
      <c r="D42" s="59" t="str">
        <f>IF(Match!D42="","",Match!D42)</f>
        <v>Nations</v>
      </c>
      <c r="E42" s="58" t="str">
        <f>IF(Match!U42="","",Match!U42)</f>
        <v>Israel  v  Ireland   6/4  21/10  13/8</v>
      </c>
      <c r="F42" s="58" t="str">
        <f>IF(Match!V42="","",Match!V42)</f>
        <v xml:space="preserve">Israel 0-3 Ireland </v>
      </c>
      <c r="G42" s="32" t="str">
        <f t="shared" si="4"/>
        <v>Israel</v>
      </c>
      <c r="H42" s="33" t="str">
        <f t="shared" si="1"/>
        <v>6/4</v>
      </c>
      <c r="I42" s="171">
        <f t="shared" si="3"/>
        <v>2.5</v>
      </c>
      <c r="J42" s="33">
        <f>INDEX(Picks!W:W,MATCH(G42,Picks!U:U,0))</f>
        <v>0</v>
      </c>
      <c r="K42" s="33">
        <f>IF(INDEX(Match!P:P,MATCH(A42,Match!A:A,0))="OFF",0,1)</f>
        <v>1</v>
      </c>
      <c r="L42" t="str">
        <f>INDEX(Match!Q:Q,MATCH(E42,Match!U:U,0))</f>
        <v>Israel</v>
      </c>
      <c r="M42" t="str">
        <f>INDEX(Match!X:X,MATCH(E42,Match!U:U,0))</f>
        <v>6/4</v>
      </c>
      <c r="N42" t="str">
        <f>INDEX(Match!R:R,MATCH(E42,Match!U:U,0))</f>
        <v>Ireland</v>
      </c>
      <c r="O42" t="str">
        <f>INDEX(Match!Y:Y,MATCH(E42,Match!U:U,0))</f>
        <v>21/10</v>
      </c>
      <c r="P42" t="str">
        <f>INDEX(Match!Z:Z,MATCH(E42,Match!U:U,0))</f>
        <v>13/8</v>
      </c>
      <c r="Q42" s="168">
        <f>INDEX(Match!AA:AA,MATCH(E42,Match!U:U,0))</f>
        <v>2.5</v>
      </c>
      <c r="R42" s="168">
        <f>INDEX(Match!AB:AB,MATCH(E42,Match!U:U,0))</f>
        <v>3.1</v>
      </c>
      <c r="S42" s="168">
        <f>INDEX(Match!AC:AC,MATCH(E42,Match!U:U,0))</f>
        <v>2.625</v>
      </c>
    </row>
    <row r="43" spans="1:19">
      <c r="A43" s="4">
        <v>42</v>
      </c>
      <c r="B43" s="90">
        <f>IF(Match!B43="","",Match!B43)</f>
        <v>46292</v>
      </c>
      <c r="C43" s="455">
        <f t="shared" si="2"/>
        <v>1</v>
      </c>
      <c r="D43" s="59" t="str">
        <f>IF(Match!D43="","",Match!D43)</f>
        <v>Nations</v>
      </c>
      <c r="E43" s="58" t="str">
        <f>IF(Match!U43="","",Match!U43)</f>
        <v>Lithuania  v  Azerbaijan   6/4  21/10  2/1</v>
      </c>
      <c r="F43" s="58" t="str">
        <f>IF(Match!V43="","",Match!V43)</f>
        <v xml:space="preserve">Lithuania 1-1 Azerbaijan </v>
      </c>
      <c r="G43" s="32" t="str">
        <f t="shared" si="4"/>
        <v>Lithuania</v>
      </c>
      <c r="H43" s="33" t="str">
        <f t="shared" si="1"/>
        <v>6/4</v>
      </c>
      <c r="I43" s="171">
        <f t="shared" si="3"/>
        <v>2.5</v>
      </c>
      <c r="J43" s="33">
        <f>INDEX(Picks!W:W,MATCH(G43,Picks!U:U,0))</f>
        <v>0</v>
      </c>
      <c r="K43" s="33">
        <f>IF(INDEX(Match!P:P,MATCH(A43,Match!A:A,0))="OFF",0,1)</f>
        <v>1</v>
      </c>
      <c r="L43" t="str">
        <f>INDEX(Match!Q:Q,MATCH(E43,Match!U:U,0))</f>
        <v>Lithuania</v>
      </c>
      <c r="M43" t="str">
        <f>INDEX(Match!X:X,MATCH(E43,Match!U:U,0))</f>
        <v>6/4</v>
      </c>
      <c r="N43" t="str">
        <f>INDEX(Match!R:R,MATCH(E43,Match!U:U,0))</f>
        <v>Azerbaijan</v>
      </c>
      <c r="O43" t="str">
        <f>INDEX(Match!Y:Y,MATCH(E43,Match!U:U,0))</f>
        <v>21/10</v>
      </c>
      <c r="P43" t="str">
        <f>INDEX(Match!Z:Z,MATCH(E43,Match!U:U,0))</f>
        <v>2/1</v>
      </c>
      <c r="Q43" s="168">
        <f>INDEX(Match!AA:AA,MATCH(E43,Match!U:U,0))</f>
        <v>2.5</v>
      </c>
      <c r="R43" s="168">
        <f>INDEX(Match!AB:AB,MATCH(E43,Match!U:U,0))</f>
        <v>3.1</v>
      </c>
      <c r="S43" s="168">
        <f>INDEX(Match!AC:AC,MATCH(E43,Match!U:U,0))</f>
        <v>3</v>
      </c>
    </row>
    <row r="44" spans="1:19">
      <c r="A44" s="4">
        <v>43</v>
      </c>
      <c r="B44" s="90">
        <f>IF(Match!B44="","",Match!B44)</f>
        <v>46292</v>
      </c>
      <c r="C44" s="455">
        <f t="shared" si="2"/>
        <v>1</v>
      </c>
      <c r="D44" s="59" t="str">
        <f>IF(Match!D44="","",Match!D44)</f>
        <v>Nations</v>
      </c>
      <c r="E44" s="58" t="str">
        <f>IF(Match!U44="","",Match!U44)</f>
        <v>Norway  v  Portugal   13/8  23/10  6/4</v>
      </c>
      <c r="F44" s="58" t="str">
        <f>IF(Match!V44="","",Match!V44)</f>
        <v xml:space="preserve">Norway 1-2 Portugal </v>
      </c>
      <c r="G44" s="32" t="str">
        <f t="shared" si="4"/>
        <v>Norway</v>
      </c>
      <c r="H44" s="33" t="str">
        <f t="shared" si="1"/>
        <v>13/8</v>
      </c>
      <c r="I44" s="171">
        <f t="shared" si="3"/>
        <v>2.625</v>
      </c>
      <c r="J44" s="33">
        <f>INDEX(Picks!W:W,MATCH(G44,Picks!U:U,0))</f>
        <v>0</v>
      </c>
      <c r="K44" s="33">
        <f>IF(INDEX(Match!P:P,MATCH(A44,Match!A:A,0))="OFF",0,1)</f>
        <v>1</v>
      </c>
      <c r="L44" t="str">
        <f>INDEX(Match!Q:Q,MATCH(E44,Match!U:U,0))</f>
        <v>Norway</v>
      </c>
      <c r="M44" t="str">
        <f>INDEX(Match!X:X,MATCH(E44,Match!U:U,0))</f>
        <v>13/8</v>
      </c>
      <c r="N44" t="str">
        <f>INDEX(Match!R:R,MATCH(E44,Match!U:U,0))</f>
        <v>Portugal</v>
      </c>
      <c r="O44" t="str">
        <f>INDEX(Match!Y:Y,MATCH(E44,Match!U:U,0))</f>
        <v>23/10</v>
      </c>
      <c r="P44" t="str">
        <f>INDEX(Match!Z:Z,MATCH(E44,Match!U:U,0))</f>
        <v>6/4</v>
      </c>
      <c r="Q44" s="168">
        <f>INDEX(Match!AA:AA,MATCH(E44,Match!U:U,0))</f>
        <v>2.625</v>
      </c>
      <c r="R44" s="168">
        <f>INDEX(Match!AB:AB,MATCH(E44,Match!U:U,0))</f>
        <v>3.3</v>
      </c>
      <c r="S44" s="168">
        <f>INDEX(Match!AC:AC,MATCH(E44,Match!U:U,0))</f>
        <v>2.5</v>
      </c>
    </row>
    <row r="45" spans="1:19">
      <c r="A45" s="4">
        <v>44</v>
      </c>
      <c r="B45" s="90">
        <f>IF(Match!B45="","",Match!B45)</f>
        <v>46292</v>
      </c>
      <c r="C45" s="455">
        <f t="shared" si="2"/>
        <v>1</v>
      </c>
      <c r="D45" s="59" t="str">
        <f>IF(Match!D45="","",Match!D45)</f>
        <v>Nations</v>
      </c>
      <c r="E45" s="58" t="str">
        <f>IF(Match!U45="","",Match!U45)</f>
        <v>Serbia  v  Netherlands   4/1  14/5  8/13</v>
      </c>
      <c r="F45" s="58" t="str">
        <f>IF(Match!V45="","",Match!V45)</f>
        <v xml:space="preserve">Serbia 1-2 Netherlands </v>
      </c>
      <c r="G45" s="32" t="str">
        <f t="shared" si="4"/>
        <v>Serbia</v>
      </c>
      <c r="H45" s="33" t="str">
        <f t="shared" si="1"/>
        <v>4/1</v>
      </c>
      <c r="I45" s="171">
        <f t="shared" si="3"/>
        <v>5</v>
      </c>
      <c r="J45" s="33">
        <f>INDEX(Picks!W:W,MATCH(G45,Picks!U:U,0))</f>
        <v>0</v>
      </c>
      <c r="K45" s="33">
        <f>IF(INDEX(Match!P:P,MATCH(A45,Match!A:A,0))="OFF",0,1)</f>
        <v>1</v>
      </c>
      <c r="L45" t="str">
        <f>INDEX(Match!Q:Q,MATCH(E45,Match!U:U,0))</f>
        <v>Serbia</v>
      </c>
      <c r="M45" t="str">
        <f>INDEX(Match!X:X,MATCH(E45,Match!U:U,0))</f>
        <v>4/1</v>
      </c>
      <c r="N45" t="str">
        <f>INDEX(Match!R:R,MATCH(E45,Match!U:U,0))</f>
        <v>Netherlands</v>
      </c>
      <c r="O45" t="str">
        <f>INDEX(Match!Y:Y,MATCH(E45,Match!U:U,0))</f>
        <v>14/5</v>
      </c>
      <c r="P45" t="str">
        <f>INDEX(Match!Z:Z,MATCH(E45,Match!U:U,0))</f>
        <v>8/13</v>
      </c>
      <c r="Q45" s="168">
        <f>INDEX(Match!AA:AA,MATCH(E45,Match!U:U,0))</f>
        <v>5</v>
      </c>
      <c r="R45" s="168">
        <f>INDEX(Match!AB:AB,MATCH(E45,Match!U:U,0))</f>
        <v>3.8</v>
      </c>
      <c r="S45" s="168">
        <f>INDEX(Match!AC:AC,MATCH(E45,Match!U:U,0))</f>
        <v>1.6153846153846154</v>
      </c>
    </row>
    <row r="46" spans="1:19">
      <c r="A46" s="4">
        <v>45</v>
      </c>
      <c r="B46" s="90" t="str">
        <f>IF(Match!B46="","",Match!B46)</f>
        <v/>
      </c>
      <c r="C46" s="455" t="str">
        <f t="shared" si="2"/>
        <v/>
      </c>
      <c r="D46" s="59" t="str">
        <f>IF(Match!D46="","",Match!D46)</f>
        <v/>
      </c>
      <c r="E46" s="58" t="str">
        <f>IF(Match!U46="","",Match!U46)</f>
        <v/>
      </c>
      <c r="F46" s="58" t="str">
        <f>IF(Match!V46="","",Match!V46)</f>
        <v xml:space="preserve"> -  </v>
      </c>
      <c r="G46" s="32" t="str">
        <f t="shared" si="4"/>
        <v/>
      </c>
      <c r="H46" s="33" t="str">
        <f>IF(E46="","",M46)</f>
        <v/>
      </c>
      <c r="I46" s="171" t="str">
        <f t="shared" si="3"/>
        <v/>
      </c>
      <c r="J46" s="33" t="e">
        <f>INDEX(Picks!W:W,MATCH(G46,Picks!U:U,0))</f>
        <v>#N/A</v>
      </c>
      <c r="K46" s="33">
        <f>IF(INDEX(Match!P:P,MATCH(A46,Match!A:A,0))="OFF",0,1)</f>
        <v>1</v>
      </c>
      <c r="L46" t="str">
        <f>INDEX(Match!Q:Q,MATCH(E46,Match!U:U,0))</f>
        <v/>
      </c>
      <c r="M46" t="str">
        <f>INDEX(Match!X:X,MATCH(E46,Match!U:U,0))</f>
        <v>/</v>
      </c>
      <c r="N46" t="str">
        <f>INDEX(Match!R:R,MATCH(E46,Match!U:U,0))</f>
        <v/>
      </c>
      <c r="O46" t="str">
        <f>INDEX(Match!Y:Y,MATCH(E46,Match!U:U,0))</f>
        <v>/</v>
      </c>
      <c r="P46" t="str">
        <f>INDEX(Match!Z:Z,MATCH(E46,Match!U:U,0))</f>
        <v>/</v>
      </c>
      <c r="Q46" s="168" t="str">
        <f>INDEX(Match!AA:AA,MATCH(E46,Match!U:U,0))</f>
        <v/>
      </c>
      <c r="R46" s="168" t="str">
        <f>INDEX(Match!AB:AB,MATCH(E46,Match!U:U,0))</f>
        <v/>
      </c>
      <c r="S46" s="168" t="str">
        <f>INDEX(Match!AC:AC,MATCH(E46,Match!U:U,0))</f>
        <v/>
      </c>
    </row>
    <row r="47" spans="1:19">
      <c r="A47" s="4">
        <v>46</v>
      </c>
      <c r="B47" s="90" t="str">
        <f>IF(Match!B47="","",Match!B47)</f>
        <v/>
      </c>
      <c r="C47" s="455" t="str">
        <f t="shared" si="2"/>
        <v/>
      </c>
      <c r="D47" s="59" t="str">
        <f>IF(Match!D47="","",Match!D47)</f>
        <v/>
      </c>
      <c r="E47" s="58" t="str">
        <f>IF(Match!U47="","",Match!U47)</f>
        <v/>
      </c>
      <c r="F47" s="58" t="str">
        <f>IF(Match!V47="","",Match!V47)</f>
        <v xml:space="preserve"> -  </v>
      </c>
      <c r="G47" s="32" t="str">
        <f>IF(E47="","",L47)</f>
        <v/>
      </c>
      <c r="H47" s="33" t="str">
        <f>IF(E47="","",M47)</f>
        <v/>
      </c>
      <c r="I47" s="171" t="str">
        <f t="shared" si="3"/>
        <v/>
      </c>
      <c r="J47" s="33" t="e">
        <f>INDEX(Picks!W:W,MATCH(G47,Picks!U:U,0))</f>
        <v>#N/A</v>
      </c>
      <c r="K47" s="33">
        <f>IF(INDEX(Match!P:P,MATCH(A47,Match!A:A,0))="OFF",0,1)</f>
        <v>1</v>
      </c>
      <c r="L47" t="str">
        <f>INDEX(Match!Q:Q,MATCH(E47,Match!U:U,0))</f>
        <v/>
      </c>
      <c r="M47" t="str">
        <f>INDEX(Match!X:X,MATCH(E47,Match!U:U,0))</f>
        <v>/</v>
      </c>
      <c r="N47" t="str">
        <f>INDEX(Match!R:R,MATCH(E47,Match!U:U,0))</f>
        <v/>
      </c>
      <c r="O47" t="str">
        <f>INDEX(Match!Y:Y,MATCH(E47,Match!U:U,0))</f>
        <v>/</v>
      </c>
      <c r="P47" t="str">
        <f>INDEX(Match!Z:Z,MATCH(E47,Match!U:U,0))</f>
        <v>/</v>
      </c>
      <c r="Q47" s="168" t="str">
        <f>INDEX(Match!AA:AA,MATCH(E47,Match!U:U,0))</f>
        <v/>
      </c>
      <c r="R47" s="168" t="str">
        <f>INDEX(Match!AB:AB,MATCH(E47,Match!U:U,0))</f>
        <v/>
      </c>
      <c r="S47" s="168" t="str">
        <f>INDEX(Match!AC:AC,MATCH(E47,Match!U:U,0))</f>
        <v/>
      </c>
    </row>
    <row r="48" spans="1:19">
      <c r="A48" s="4">
        <v>1</v>
      </c>
      <c r="B48" s="90">
        <f>IF(Match!B2="","",Match!B2)</f>
        <v>46290</v>
      </c>
      <c r="C48" s="455">
        <f t="shared" si="2"/>
        <v>6</v>
      </c>
      <c r="E48" s="8"/>
      <c r="F48" s="8"/>
      <c r="G48" s="142" t="str">
        <f t="shared" ref="G48:G93" si="5">IF(E2="","",L2&amp;" draw")</f>
        <v>Armenia draw</v>
      </c>
      <c r="H48" s="143" t="str">
        <f t="shared" ref="H48:H93" si="6">IF(E2="","",O2)</f>
        <v>13/5</v>
      </c>
      <c r="I48" s="172">
        <f>IF(E2="","",R2)</f>
        <v>3.6</v>
      </c>
      <c r="J48" s="143">
        <f>INDEX(Picks!W:W,MATCH(G48,Picks!U:U,0))</f>
        <v>0</v>
      </c>
      <c r="K48" s="143">
        <f>IF(INDEX(Match!P:P,MATCH(A48,Match!A:A,0))="OFF",0,1)</f>
        <v>1</v>
      </c>
    </row>
    <row r="49" spans="1:11">
      <c r="A49" s="4">
        <v>2</v>
      </c>
      <c r="B49" s="90">
        <f>IF(Match!B3="","",Match!B3)</f>
        <v>46290</v>
      </c>
      <c r="C49" s="455">
        <f t="shared" si="2"/>
        <v>6</v>
      </c>
      <c r="G49" s="142" t="str">
        <f t="shared" si="5"/>
        <v>Georgia draw</v>
      </c>
      <c r="H49" s="143" t="str">
        <f t="shared" si="6"/>
        <v>12/5</v>
      </c>
      <c r="I49" s="172">
        <f t="shared" ref="I49:I93" si="7">IF(E3="","",R3)</f>
        <v>3.4</v>
      </c>
      <c r="J49" s="143">
        <f>INDEX(Picks!W:W,MATCH(G49,Picks!U:U,0))</f>
        <v>0</v>
      </c>
      <c r="K49" s="143">
        <f>IF(INDEX(Match!P:P,MATCH(A49,Match!A:A,0))="OFF",0,1)</f>
        <v>1</v>
      </c>
    </row>
    <row r="50" spans="1:11">
      <c r="A50" s="4">
        <v>3</v>
      </c>
      <c r="B50" s="90">
        <f>IF(Match!B4="","",Match!B4)</f>
        <v>46290</v>
      </c>
      <c r="C50" s="455">
        <f t="shared" si="2"/>
        <v>6</v>
      </c>
      <c r="G50" s="142" t="str">
        <f t="shared" si="5"/>
        <v>Hungary draw</v>
      </c>
      <c r="H50" s="143" t="str">
        <f t="shared" si="6"/>
        <v>21/10</v>
      </c>
      <c r="I50" s="172">
        <f t="shared" si="7"/>
        <v>3.1</v>
      </c>
      <c r="J50" s="143">
        <f>INDEX(Picks!W:W,MATCH(G50,Picks!U:U,0))</f>
        <v>0</v>
      </c>
      <c r="K50" s="143">
        <f>IF(INDEX(Match!P:P,MATCH(A50,Match!A:A,0))="OFF",0,1)</f>
        <v>1</v>
      </c>
    </row>
    <row r="51" spans="1:11">
      <c r="A51" s="4">
        <v>4</v>
      </c>
      <c r="B51" s="90">
        <f>IF(Match!B5="","",Match!B5)</f>
        <v>46290</v>
      </c>
      <c r="C51" s="455">
        <f t="shared" si="2"/>
        <v>6</v>
      </c>
      <c r="G51" s="142" t="str">
        <f t="shared" si="5"/>
        <v>Italy draw</v>
      </c>
      <c r="H51" s="143" t="str">
        <f t="shared" si="6"/>
        <v>12/5</v>
      </c>
      <c r="I51" s="172">
        <f t="shared" si="7"/>
        <v>3.4</v>
      </c>
      <c r="J51" s="143">
        <f>INDEX(Picks!W:W,MATCH(G51,Picks!U:U,0))</f>
        <v>0</v>
      </c>
      <c r="K51" s="143">
        <f>IF(INDEX(Match!P:P,MATCH(A51,Match!A:A,0))="OFF",0,1)</f>
        <v>1</v>
      </c>
    </row>
    <row r="52" spans="1:11">
      <c r="A52" s="4">
        <v>5</v>
      </c>
      <c r="B52" s="90">
        <f>IF(Match!B6="","",Match!B6)</f>
        <v>46290</v>
      </c>
      <c r="C52" s="455">
        <f t="shared" si="2"/>
        <v>6</v>
      </c>
      <c r="G52" s="142" t="str">
        <f t="shared" si="5"/>
        <v>Montenegro draw</v>
      </c>
      <c r="H52" s="143" t="str">
        <f t="shared" si="6"/>
        <v>5/2</v>
      </c>
      <c r="I52" s="172">
        <f t="shared" si="7"/>
        <v>3.5</v>
      </c>
      <c r="J52" s="143">
        <f>INDEX(Picks!W:W,MATCH(G52,Picks!U:U,0))</f>
        <v>0</v>
      </c>
      <c r="K52" s="143">
        <f>IF(INDEX(Match!P:P,MATCH(A52,Match!A:A,0))="OFF",0,1)</f>
        <v>1</v>
      </c>
    </row>
    <row r="53" spans="1:11">
      <c r="A53" s="4">
        <v>6</v>
      </c>
      <c r="B53" s="90">
        <f>IF(Match!B7="","",Match!B7)</f>
        <v>46290</v>
      </c>
      <c r="C53" s="455">
        <f t="shared" si="2"/>
        <v>6</v>
      </c>
      <c r="G53" s="142" t="str">
        <f t="shared" si="5"/>
        <v>Poland draw</v>
      </c>
      <c r="H53" s="143" t="str">
        <f t="shared" si="6"/>
        <v>13/5</v>
      </c>
      <c r="I53" s="172">
        <f t="shared" si="7"/>
        <v>3.6</v>
      </c>
      <c r="J53" s="143">
        <f>INDEX(Picks!W:W,MATCH(G53,Picks!U:U,0))</f>
        <v>1</v>
      </c>
      <c r="K53" s="143">
        <f>IF(INDEX(Match!P:P,MATCH(A53,Match!A:A,0))="OFF",0,1)</f>
        <v>1</v>
      </c>
    </row>
    <row r="54" spans="1:11">
      <c r="A54" s="4">
        <v>7</v>
      </c>
      <c r="B54" s="90">
        <f>IF(Match!B8="","",Match!B8)</f>
        <v>46290</v>
      </c>
      <c r="C54" s="455">
        <f t="shared" si="2"/>
        <v>6</v>
      </c>
      <c r="G54" s="142" t="str">
        <f t="shared" si="5"/>
        <v>Sweden draw</v>
      </c>
      <c r="H54" s="143" t="str">
        <f t="shared" si="6"/>
        <v>16/5</v>
      </c>
      <c r="I54" s="172">
        <f t="shared" si="7"/>
        <v>4.2</v>
      </c>
      <c r="J54" s="143">
        <f>INDEX(Picks!W:W,MATCH(G54,Picks!U:U,0))</f>
        <v>0</v>
      </c>
      <c r="K54" s="143">
        <f>IF(INDEX(Match!P:P,MATCH(A54,Match!A:A,0))="OFF",0,1)</f>
        <v>1</v>
      </c>
    </row>
    <row r="55" spans="1:11">
      <c r="A55" s="4">
        <v>8</v>
      </c>
      <c r="B55" s="90">
        <f>IF(Match!B9="","",Match!B9)</f>
        <v>46290</v>
      </c>
      <c r="C55" s="455">
        <f t="shared" si="2"/>
        <v>6</v>
      </c>
      <c r="G55" s="142" t="str">
        <f t="shared" si="5"/>
        <v>Turkey draw</v>
      </c>
      <c r="H55" s="143" t="str">
        <f t="shared" si="6"/>
        <v>10/3</v>
      </c>
      <c r="I55" s="172">
        <f t="shared" si="7"/>
        <v>4.3333333333333339</v>
      </c>
      <c r="J55" s="143">
        <f>INDEX(Picks!W:W,MATCH(G55,Picks!U:U,0))</f>
        <v>0</v>
      </c>
      <c r="K55" s="143">
        <f>IF(INDEX(Match!P:P,MATCH(A55,Match!A:A,0))="OFF",0,1)</f>
        <v>1</v>
      </c>
    </row>
    <row r="56" spans="1:11">
      <c r="A56" s="4">
        <v>9</v>
      </c>
      <c r="B56" s="90">
        <f>IF(Match!B10="","",Match!B10)</f>
        <v>46291</v>
      </c>
      <c r="C56" s="455">
        <f t="shared" si="2"/>
        <v>7</v>
      </c>
      <c r="G56" s="142" t="str">
        <f t="shared" si="5"/>
        <v>Cambridge draw</v>
      </c>
      <c r="H56" s="143" t="str">
        <f t="shared" si="6"/>
        <v>12/5</v>
      </c>
      <c r="I56" s="172">
        <f t="shared" si="7"/>
        <v>3.4</v>
      </c>
      <c r="J56" s="143">
        <f>INDEX(Picks!W:W,MATCH(G56,Picks!U:U,0))</f>
        <v>1</v>
      </c>
      <c r="K56" s="143">
        <f>IF(INDEX(Match!P:P,MATCH(A56,Match!A:A,0))="OFF",0,1)</f>
        <v>1</v>
      </c>
    </row>
    <row r="57" spans="1:11">
      <c r="A57" s="4">
        <v>10</v>
      </c>
      <c r="B57" s="90">
        <f>IF(Match!B11="","",Match!B11)</f>
        <v>46291</v>
      </c>
      <c r="C57" s="455">
        <f t="shared" si="2"/>
        <v>7</v>
      </c>
      <c r="G57" s="142" t="str">
        <f t="shared" si="5"/>
        <v>Plymouth draw</v>
      </c>
      <c r="H57" s="143" t="str">
        <f t="shared" si="6"/>
        <v>14/5</v>
      </c>
      <c r="I57" s="172">
        <f t="shared" si="7"/>
        <v>3.8</v>
      </c>
      <c r="J57" s="143">
        <f>INDEX(Picks!W:W,MATCH(G57,Picks!U:U,0))</f>
        <v>0</v>
      </c>
      <c r="K57" s="143">
        <f>IF(INDEX(Match!P:P,MATCH(A57,Match!A:A,0))="OFF",0,1)</f>
        <v>1</v>
      </c>
    </row>
    <row r="58" spans="1:11">
      <c r="A58" s="4">
        <v>11</v>
      </c>
      <c r="B58" s="90">
        <f>IF(Match!B12="","",Match!B12)</f>
        <v>46291</v>
      </c>
      <c r="C58" s="455">
        <f t="shared" si="2"/>
        <v>7</v>
      </c>
      <c r="G58" s="142" t="str">
        <f t="shared" si="5"/>
        <v>Stockport draw</v>
      </c>
      <c r="H58" s="143" t="str">
        <f t="shared" si="6"/>
        <v>19/5</v>
      </c>
      <c r="I58" s="172">
        <f t="shared" si="7"/>
        <v>4.8</v>
      </c>
      <c r="J58" s="143">
        <f>INDEX(Picks!W:W,MATCH(G58,Picks!U:U,0))</f>
        <v>0</v>
      </c>
      <c r="K58" s="143">
        <f>IF(INDEX(Match!P:P,MATCH(A58,Match!A:A,0))="OFF",0,1)</f>
        <v>1</v>
      </c>
    </row>
    <row r="59" spans="1:11">
      <c r="A59" s="4">
        <v>12</v>
      </c>
      <c r="B59" s="90">
        <f>IF(Match!B13="","",Match!B13)</f>
        <v>46291</v>
      </c>
      <c r="C59" s="455">
        <f t="shared" si="2"/>
        <v>7</v>
      </c>
      <c r="G59" s="142" t="str">
        <f t="shared" si="5"/>
        <v>Wycombe draw</v>
      </c>
      <c r="H59" s="143" t="str">
        <f t="shared" si="6"/>
        <v>12/5</v>
      </c>
      <c r="I59" s="172">
        <f t="shared" si="7"/>
        <v>3.4</v>
      </c>
      <c r="J59" s="143">
        <f>INDEX(Picks!W:W,MATCH(G59,Picks!U:U,0))</f>
        <v>1</v>
      </c>
      <c r="K59" s="143">
        <f>IF(INDEX(Match!P:P,MATCH(A59,Match!A:A,0))="OFF",0,1)</f>
        <v>1</v>
      </c>
    </row>
    <row r="60" spans="1:11">
      <c r="A60" s="4">
        <v>13</v>
      </c>
      <c r="B60" s="90">
        <f>IF(Match!B14="","",Match!B14)</f>
        <v>46291</v>
      </c>
      <c r="C60" s="455">
        <f t="shared" si="2"/>
        <v>7</v>
      </c>
      <c r="G60" s="142" t="str">
        <f t="shared" si="5"/>
        <v>Bristol R draw</v>
      </c>
      <c r="H60" s="143" t="str">
        <f t="shared" si="6"/>
        <v>14/5</v>
      </c>
      <c r="I60" s="172">
        <f t="shared" si="7"/>
        <v>3.8</v>
      </c>
      <c r="J60" s="143">
        <f>INDEX(Picks!W:W,MATCH(G60,Picks!U:U,0))</f>
        <v>0</v>
      </c>
      <c r="K60" s="143">
        <f>IF(INDEX(Match!P:P,MATCH(A60,Match!A:A,0))="OFF",0,1)</f>
        <v>1</v>
      </c>
    </row>
    <row r="61" spans="1:11">
      <c r="A61" s="4">
        <v>14</v>
      </c>
      <c r="B61" s="90">
        <f>IF(Match!B15="","",Match!B15)</f>
        <v>46291</v>
      </c>
      <c r="C61" s="455">
        <f t="shared" si="2"/>
        <v>7</v>
      </c>
      <c r="G61" s="142" t="str">
        <f t="shared" si="5"/>
        <v>Cheltenham draw</v>
      </c>
      <c r="H61" s="143" t="str">
        <f t="shared" si="6"/>
        <v>5/2</v>
      </c>
      <c r="I61" s="172">
        <f t="shared" si="7"/>
        <v>3.5</v>
      </c>
      <c r="J61" s="143">
        <f>INDEX(Picks!W:W,MATCH(G61,Picks!U:U,0))</f>
        <v>0</v>
      </c>
      <c r="K61" s="143">
        <f>IF(INDEX(Match!P:P,MATCH(A61,Match!A:A,0))="OFF",0,1)</f>
        <v>1</v>
      </c>
    </row>
    <row r="62" spans="1:11">
      <c r="A62" s="4">
        <v>15</v>
      </c>
      <c r="B62" s="90">
        <f>IF(Match!B16="","",Match!B16)</f>
        <v>46291</v>
      </c>
      <c r="C62" s="455">
        <f t="shared" si="2"/>
        <v>7</v>
      </c>
      <c r="G62" s="142" t="str">
        <f t="shared" si="5"/>
        <v>Fleetwood draw</v>
      </c>
      <c r="H62" s="143" t="str">
        <f t="shared" si="6"/>
        <v>5/2</v>
      </c>
      <c r="I62" s="172">
        <f t="shared" si="7"/>
        <v>3.5</v>
      </c>
      <c r="J62" s="143">
        <f>INDEX(Picks!W:W,MATCH(G62,Picks!U:U,0))</f>
        <v>0</v>
      </c>
      <c r="K62" s="143">
        <f>IF(INDEX(Match!P:P,MATCH(A62,Match!A:A,0))="OFF",0,1)</f>
        <v>1</v>
      </c>
    </row>
    <row r="63" spans="1:11">
      <c r="A63" s="4">
        <v>16</v>
      </c>
      <c r="B63" s="90">
        <f>IF(Match!B17="","",Match!B17)</f>
        <v>46291</v>
      </c>
      <c r="C63" s="455">
        <f t="shared" si="2"/>
        <v>7</v>
      </c>
      <c r="G63" s="142" t="str">
        <f t="shared" si="5"/>
        <v>Newport draw</v>
      </c>
      <c r="H63" s="143" t="str">
        <f t="shared" si="6"/>
        <v>12/5</v>
      </c>
      <c r="I63" s="172">
        <f t="shared" si="7"/>
        <v>3.4</v>
      </c>
      <c r="J63" s="143">
        <f>INDEX(Picks!W:W,MATCH(G63,Picks!U:U,0))</f>
        <v>0</v>
      </c>
      <c r="K63" s="143">
        <f>IF(INDEX(Match!P:P,MATCH(A63,Match!A:A,0))="OFF",0,1)</f>
        <v>1</v>
      </c>
    </row>
    <row r="64" spans="1:11">
      <c r="A64" s="4">
        <v>17</v>
      </c>
      <c r="B64" s="90">
        <f>IF(Match!B18="","",Match!B18)</f>
        <v>46291</v>
      </c>
      <c r="C64" s="455">
        <f t="shared" si="2"/>
        <v>7</v>
      </c>
      <c r="G64" s="142" t="str">
        <f t="shared" si="5"/>
        <v>Oldham draw</v>
      </c>
      <c r="H64" s="143" t="str">
        <f t="shared" si="6"/>
        <v>13/5</v>
      </c>
      <c r="I64" s="172">
        <f t="shared" si="7"/>
        <v>3.6</v>
      </c>
      <c r="J64" s="143">
        <f>INDEX(Picks!W:W,MATCH(G64,Picks!U:U,0))</f>
        <v>0</v>
      </c>
      <c r="K64" s="143">
        <f>IF(INDEX(Match!P:P,MATCH(A64,Match!A:A,0))="OFF",0,1)</f>
        <v>1</v>
      </c>
    </row>
    <row r="65" spans="1:11">
      <c r="A65" s="4">
        <v>18</v>
      </c>
      <c r="B65" s="90">
        <f>IF(Match!B19="","",Match!B19)</f>
        <v>46291</v>
      </c>
      <c r="C65" s="455">
        <f t="shared" si="2"/>
        <v>7</v>
      </c>
      <c r="G65" s="142" t="str">
        <f t="shared" si="5"/>
        <v>Rotherham draw</v>
      </c>
      <c r="H65" s="143" t="str">
        <f t="shared" si="6"/>
        <v>12/5</v>
      </c>
      <c r="I65" s="172">
        <f t="shared" si="7"/>
        <v>3.4</v>
      </c>
      <c r="J65" s="143">
        <f>INDEX(Picks!W:W,MATCH(G65,Picks!U:U,0))</f>
        <v>1</v>
      </c>
      <c r="K65" s="143">
        <f>IF(INDEX(Match!P:P,MATCH(A65,Match!A:A,0))="OFF",0,1)</f>
        <v>1</v>
      </c>
    </row>
    <row r="66" spans="1:11">
      <c r="A66" s="4">
        <v>19</v>
      </c>
      <c r="B66" s="90">
        <f>IF(Match!B20="","",Match!B20)</f>
        <v>46291</v>
      </c>
      <c r="C66" s="455">
        <f t="shared" si="2"/>
        <v>7</v>
      </c>
      <c r="G66" s="142" t="str">
        <f t="shared" si="5"/>
        <v>Shrewsbury draw</v>
      </c>
      <c r="H66" s="143" t="str">
        <f t="shared" si="6"/>
        <v>2/1</v>
      </c>
      <c r="I66" s="172">
        <f t="shared" si="7"/>
        <v>3</v>
      </c>
      <c r="J66" s="143">
        <f>INDEX(Picks!W:W,MATCH(G66,Picks!U:U,0))</f>
        <v>1</v>
      </c>
      <c r="K66" s="143">
        <f>IF(INDEX(Match!P:P,MATCH(A66,Match!A:A,0))="OFF",0,1)</f>
        <v>1</v>
      </c>
    </row>
    <row r="67" spans="1:11">
      <c r="A67" s="4">
        <v>20</v>
      </c>
      <c r="B67" s="90">
        <f>IF(Match!B21="","",Match!B21)</f>
        <v>46291</v>
      </c>
      <c r="C67" s="455">
        <f t="shared" ref="C67:C130" si="8">IF(B67="","",WEEKDAY(B67))</f>
        <v>7</v>
      </c>
      <c r="G67" s="142" t="str">
        <f t="shared" si="5"/>
        <v>Swindon draw</v>
      </c>
      <c r="H67" s="143" t="str">
        <f t="shared" si="6"/>
        <v>12/5</v>
      </c>
      <c r="I67" s="172">
        <f t="shared" si="7"/>
        <v>3.4</v>
      </c>
      <c r="J67" s="143">
        <f>INDEX(Picks!W:W,MATCH(G67,Picks!U:U,0))</f>
        <v>1</v>
      </c>
      <c r="K67" s="143">
        <f>IF(INDEX(Match!P:P,MATCH(A67,Match!A:A,0))="OFF",0,1)</f>
        <v>1</v>
      </c>
    </row>
    <row r="68" spans="1:11">
      <c r="A68" s="4">
        <v>21</v>
      </c>
      <c r="B68" s="90">
        <f>IF(Match!B22="","",Match!B22)</f>
        <v>46291</v>
      </c>
      <c r="C68" s="455">
        <f t="shared" si="8"/>
        <v>7</v>
      </c>
      <c r="G68" s="142" t="str">
        <f t="shared" si="5"/>
        <v>Tranmere draw</v>
      </c>
      <c r="H68" s="143" t="str">
        <f t="shared" si="6"/>
        <v>21/10</v>
      </c>
      <c r="I68" s="172">
        <f t="shared" si="7"/>
        <v>3.1</v>
      </c>
      <c r="J68" s="143">
        <f>INDEX(Picks!W:W,MATCH(G68,Picks!U:U,0))</f>
        <v>1</v>
      </c>
      <c r="K68" s="143">
        <f>IF(INDEX(Match!P:P,MATCH(A68,Match!A:A,0))="OFF",0,1)</f>
        <v>1</v>
      </c>
    </row>
    <row r="69" spans="1:11">
      <c r="A69" s="4">
        <v>22</v>
      </c>
      <c r="B69" s="90">
        <f>IF(Match!B23="","",Match!B23)</f>
        <v>46291</v>
      </c>
      <c r="C69" s="455">
        <f t="shared" si="8"/>
        <v>7</v>
      </c>
      <c r="G69" s="142" t="str">
        <f t="shared" si="5"/>
        <v>York draw</v>
      </c>
      <c r="H69" s="143" t="str">
        <f t="shared" si="6"/>
        <v>17/5</v>
      </c>
      <c r="I69" s="172">
        <f t="shared" si="7"/>
        <v>4.4000000000000004</v>
      </c>
      <c r="J69" s="143">
        <f>INDEX(Picks!W:W,MATCH(G69,Picks!U:U,0))</f>
        <v>0</v>
      </c>
      <c r="K69" s="143">
        <f>IF(INDEX(Match!P:P,MATCH(A69,Match!A:A,0))="OFF",0,1)</f>
        <v>1</v>
      </c>
    </row>
    <row r="70" spans="1:11">
      <c r="A70" s="4">
        <v>23</v>
      </c>
      <c r="B70" s="90">
        <f>IF(Match!B24="","",Match!B24)</f>
        <v>46291</v>
      </c>
      <c r="C70" s="455">
        <f t="shared" si="8"/>
        <v>7</v>
      </c>
      <c r="G70" s="142" t="str">
        <f t="shared" si="5"/>
        <v>Albania draw</v>
      </c>
      <c r="H70" s="143" t="str">
        <f t="shared" si="6"/>
        <v>14/5</v>
      </c>
      <c r="I70" s="172">
        <f t="shared" si="7"/>
        <v>3.8</v>
      </c>
      <c r="J70" s="143">
        <f>INDEX(Picks!W:W,MATCH(G70,Picks!U:U,0))</f>
        <v>0</v>
      </c>
      <c r="K70" s="143">
        <f>IF(INDEX(Match!P:P,MATCH(A70,Match!A:A,0))="OFF",0,1)</f>
        <v>1</v>
      </c>
    </row>
    <row r="71" spans="1:11">
      <c r="A71" s="4">
        <v>24</v>
      </c>
      <c r="B71" s="90">
        <f>IF(Match!B25="","",Match!B25)</f>
        <v>46291</v>
      </c>
      <c r="C71" s="455">
        <f t="shared" si="8"/>
        <v>7</v>
      </c>
      <c r="G71" s="142" t="str">
        <f t="shared" si="5"/>
        <v>Bulgaria draw</v>
      </c>
      <c r="H71" s="143" t="str">
        <f t="shared" si="6"/>
        <v>2/1</v>
      </c>
      <c r="I71" s="172">
        <f t="shared" si="7"/>
        <v>3</v>
      </c>
      <c r="J71" s="143">
        <f>INDEX(Picks!W:W,MATCH(G71,Picks!U:U,0))</f>
        <v>0</v>
      </c>
      <c r="K71" s="143">
        <f>IF(INDEX(Match!P:P,MATCH(A71,Match!A:A,0))="OFF",0,1)</f>
        <v>1</v>
      </c>
    </row>
    <row r="72" spans="1:11">
      <c r="A72" s="4">
        <v>25</v>
      </c>
      <c r="B72" s="90">
        <f>IF(Match!B26="","",Match!B26)</f>
        <v>46291</v>
      </c>
      <c r="C72" s="455">
        <f t="shared" si="8"/>
        <v>7</v>
      </c>
      <c r="G72" s="142" t="str">
        <f t="shared" si="5"/>
        <v>Czech draw</v>
      </c>
      <c r="H72" s="143" t="str">
        <f t="shared" si="6"/>
        <v>23/10</v>
      </c>
      <c r="I72" s="172">
        <f t="shared" si="7"/>
        <v>3.3</v>
      </c>
      <c r="J72" s="143">
        <f>INDEX(Picks!W:W,MATCH(G72,Picks!U:U,0))</f>
        <v>0</v>
      </c>
      <c r="K72" s="143">
        <f>IF(INDEX(Match!P:P,MATCH(A72,Match!A:A,0))="OFF",0,1)</f>
        <v>1</v>
      </c>
    </row>
    <row r="73" spans="1:11">
      <c r="A73" s="4">
        <v>26</v>
      </c>
      <c r="B73" s="90">
        <f>IF(Match!B27="","",Match!B27)</f>
        <v>46291</v>
      </c>
      <c r="C73" s="455">
        <f t="shared" si="8"/>
        <v>7</v>
      </c>
      <c r="G73" s="142" t="str">
        <f t="shared" si="5"/>
        <v>England draw</v>
      </c>
      <c r="H73" s="143" t="str">
        <f t="shared" si="6"/>
        <v>21/10</v>
      </c>
      <c r="I73" s="172">
        <f t="shared" si="7"/>
        <v>3.1</v>
      </c>
      <c r="J73" s="143">
        <f>INDEX(Picks!W:W,MATCH(G73,Picks!U:U,0))</f>
        <v>0</v>
      </c>
      <c r="K73" s="143">
        <f>IF(INDEX(Match!P:P,MATCH(A73,Match!A:A,0))="OFF",0,1)</f>
        <v>1</v>
      </c>
    </row>
    <row r="74" spans="1:11">
      <c r="A74" s="4">
        <v>27</v>
      </c>
      <c r="B74" s="90">
        <f>IF(Match!B28="","",Match!B28)</f>
        <v>46291</v>
      </c>
      <c r="C74" s="455">
        <f t="shared" si="8"/>
        <v>7</v>
      </c>
      <c r="G74" s="142" t="str">
        <f t="shared" si="5"/>
        <v>Faroe Islands draw</v>
      </c>
      <c r="H74" s="143" t="str">
        <f t="shared" si="6"/>
        <v>2/1</v>
      </c>
      <c r="I74" s="172">
        <f t="shared" si="7"/>
        <v>3</v>
      </c>
      <c r="J74" s="143">
        <f>INDEX(Picks!W:W,MATCH(G74,Picks!U:U,0))</f>
        <v>1</v>
      </c>
      <c r="K74" s="143">
        <f>IF(INDEX(Match!P:P,MATCH(A74,Match!A:A,0))="OFF",0,1)</f>
        <v>1</v>
      </c>
    </row>
    <row r="75" spans="1:11">
      <c r="A75" s="4">
        <v>28</v>
      </c>
      <c r="B75" s="90">
        <f>IF(Match!B29="","",Match!B29)</f>
        <v>46291</v>
      </c>
      <c r="C75" s="455">
        <f t="shared" si="8"/>
        <v>7</v>
      </c>
      <c r="G75" s="142" t="str">
        <f t="shared" si="5"/>
        <v>Iceland draw</v>
      </c>
      <c r="H75" s="143" t="str">
        <f t="shared" si="6"/>
        <v>4/1</v>
      </c>
      <c r="I75" s="172">
        <f t="shared" si="7"/>
        <v>5</v>
      </c>
      <c r="J75" s="143">
        <f>INDEX(Picks!W:W,MATCH(G75,Picks!U:U,0))</f>
        <v>1</v>
      </c>
      <c r="K75" s="143">
        <f>IF(INDEX(Match!P:P,MATCH(A75,Match!A:A,0))="OFF",0,1)</f>
        <v>1</v>
      </c>
    </row>
    <row r="76" spans="1:11">
      <c r="A76" s="4">
        <v>29</v>
      </c>
      <c r="B76" s="90">
        <f>IF(Match!B30="","",Match!B30)</f>
        <v>46291</v>
      </c>
      <c r="C76" s="455">
        <f t="shared" si="8"/>
        <v>7</v>
      </c>
      <c r="G76" s="142" t="str">
        <f t="shared" si="5"/>
        <v>Macedonia draw</v>
      </c>
      <c r="H76" s="143" t="str">
        <f t="shared" si="6"/>
        <v>7/2</v>
      </c>
      <c r="I76" s="172">
        <f t="shared" si="7"/>
        <v>4.5</v>
      </c>
      <c r="J76" s="143">
        <f>INDEX(Picks!W:W,MATCH(G76,Picks!U:U,0))</f>
        <v>0</v>
      </c>
      <c r="K76" s="143">
        <f>IF(INDEX(Match!P:P,MATCH(A76,Match!A:A,0))="OFF",0,1)</f>
        <v>1</v>
      </c>
    </row>
    <row r="77" spans="1:11">
      <c r="A77" s="4">
        <v>30</v>
      </c>
      <c r="B77" s="90">
        <f>IF(Match!B31="","",Match!B31)</f>
        <v>46291</v>
      </c>
      <c r="C77" s="455">
        <f t="shared" si="8"/>
        <v>7</v>
      </c>
      <c r="G77" s="142" t="str">
        <f t="shared" si="5"/>
        <v>San Marino draw</v>
      </c>
      <c r="H77" s="143" t="str">
        <f t="shared" si="6"/>
        <v>15/2</v>
      </c>
      <c r="I77" s="172">
        <f t="shared" si="7"/>
        <v>8.5</v>
      </c>
      <c r="J77" s="143">
        <f>INDEX(Picks!W:W,MATCH(G77,Picks!U:U,0))</f>
        <v>0</v>
      </c>
      <c r="K77" s="143">
        <f>IF(INDEX(Match!P:P,MATCH(A77,Match!A:A,0))="OFF",0,1)</f>
        <v>1</v>
      </c>
    </row>
    <row r="78" spans="1:11">
      <c r="A78" s="4">
        <v>31</v>
      </c>
      <c r="B78" s="90">
        <f>IF(Match!B32="","",Match!B32)</f>
        <v>46291</v>
      </c>
      <c r="C78" s="455">
        <f t="shared" si="8"/>
        <v>7</v>
      </c>
      <c r="G78" s="142" t="str">
        <f t="shared" si="5"/>
        <v>Slovakia draw</v>
      </c>
      <c r="H78" s="143" t="str">
        <f t="shared" si="6"/>
        <v>4/1</v>
      </c>
      <c r="I78" s="172">
        <f t="shared" si="7"/>
        <v>5</v>
      </c>
      <c r="J78" s="143">
        <f>INDEX(Picks!W:W,MATCH(G78,Picks!U:U,0))</f>
        <v>0</v>
      </c>
      <c r="K78" s="143">
        <f>IF(INDEX(Match!P:P,MATCH(A78,Match!A:A,0))="OFF",0,1)</f>
        <v>1</v>
      </c>
    </row>
    <row r="79" spans="1:11">
      <c r="A79" s="4">
        <v>32</v>
      </c>
      <c r="B79" s="90">
        <f>IF(Match!B33="","",Match!B33)</f>
        <v>46291</v>
      </c>
      <c r="C79" s="455">
        <f t="shared" si="8"/>
        <v>7</v>
      </c>
      <c r="G79" s="142" t="str">
        <f t="shared" si="5"/>
        <v>Slovenia draw</v>
      </c>
      <c r="H79" s="143" t="str">
        <f t="shared" si="6"/>
        <v>2/1</v>
      </c>
      <c r="I79" s="172">
        <f t="shared" si="7"/>
        <v>3</v>
      </c>
      <c r="J79" s="143">
        <f>INDEX(Picks!W:W,MATCH(G79,Picks!U:U,0))</f>
        <v>1</v>
      </c>
      <c r="K79" s="143">
        <f>IF(INDEX(Match!P:P,MATCH(A79,Match!A:A,0))="OFF",0,1)</f>
        <v>1</v>
      </c>
    </row>
    <row r="80" spans="1:11">
      <c r="A80" s="4">
        <v>33</v>
      </c>
      <c r="B80" s="90">
        <f>IF(Match!B34="","",Match!B34)</f>
        <v>46292</v>
      </c>
      <c r="C80" s="455">
        <f t="shared" si="8"/>
        <v>1</v>
      </c>
      <c r="G80" s="142" t="str">
        <f t="shared" si="5"/>
        <v>Aldershot draw</v>
      </c>
      <c r="H80" s="143" t="str">
        <f t="shared" si="6"/>
        <v>5/2</v>
      </c>
      <c r="I80" s="172">
        <f t="shared" si="7"/>
        <v>3.5</v>
      </c>
      <c r="J80" s="143">
        <f>INDEX(Picks!W:W,MATCH(G80,Picks!U:U,0))</f>
        <v>0</v>
      </c>
      <c r="K80" s="143">
        <f>IF(INDEX(Match!P:P,MATCH(A80,Match!A:A,0))="OFF",0,1)</f>
        <v>1</v>
      </c>
    </row>
    <row r="81" spans="1:11">
      <c r="A81" s="4">
        <v>34</v>
      </c>
      <c r="B81" s="90">
        <f>IF(Match!B35="","",Match!B35)</f>
        <v>46292</v>
      </c>
      <c r="C81" s="455">
        <f t="shared" si="8"/>
        <v>1</v>
      </c>
      <c r="G81" s="142" t="str">
        <f t="shared" si="5"/>
        <v>Altrincham draw</v>
      </c>
      <c r="H81" s="143" t="str">
        <f t="shared" si="6"/>
        <v>23/10</v>
      </c>
      <c r="I81" s="172">
        <f t="shared" si="7"/>
        <v>3.3</v>
      </c>
      <c r="J81" s="143">
        <f>INDEX(Picks!W:W,MATCH(G81,Picks!U:U,0))</f>
        <v>0</v>
      </c>
      <c r="K81" s="143">
        <f>IF(INDEX(Match!P:P,MATCH(A81,Match!A:A,0))="OFF",0,1)</f>
        <v>1</v>
      </c>
    </row>
    <row r="82" spans="1:11">
      <c r="A82" s="4">
        <v>35</v>
      </c>
      <c r="B82" s="90">
        <f>IF(Match!B36="","",Match!B36)</f>
        <v>46292</v>
      </c>
      <c r="C82" s="455">
        <f t="shared" si="8"/>
        <v>1</v>
      </c>
      <c r="G82" s="142" t="str">
        <f t="shared" si="5"/>
        <v>Scunthorpe draw</v>
      </c>
      <c r="H82" s="143" t="str">
        <f t="shared" si="6"/>
        <v>12/5</v>
      </c>
      <c r="I82" s="172">
        <f t="shared" si="7"/>
        <v>3.4</v>
      </c>
      <c r="J82" s="143">
        <f>INDEX(Picks!W:W,MATCH(G82,Picks!U:U,0))</f>
        <v>0</v>
      </c>
      <c r="K82" s="143">
        <f>IF(INDEX(Match!P:P,MATCH(A82,Match!A:A,0))="OFF",0,1)</f>
        <v>1</v>
      </c>
    </row>
    <row r="83" spans="1:11">
      <c r="A83" s="4">
        <v>36</v>
      </c>
      <c r="B83" s="90">
        <f>IF(Match!B37="","",Match!B37)</f>
        <v>46292</v>
      </c>
      <c r="C83" s="455">
        <f t="shared" si="8"/>
        <v>1</v>
      </c>
      <c r="G83" s="142" t="str">
        <f t="shared" si="5"/>
        <v>Southend draw</v>
      </c>
      <c r="H83" s="143" t="str">
        <f t="shared" si="6"/>
        <v>13/5</v>
      </c>
      <c r="I83" s="172">
        <f t="shared" si="7"/>
        <v>3.6</v>
      </c>
      <c r="J83" s="143">
        <f>INDEX(Picks!W:W,MATCH(G83,Picks!U:U,0))</f>
        <v>0</v>
      </c>
      <c r="K83" s="143">
        <f>IF(INDEX(Match!P:P,MATCH(A83,Match!A:A,0))="OFF",0,1)</f>
        <v>1</v>
      </c>
    </row>
    <row r="84" spans="1:11">
      <c r="A84" s="4">
        <v>37</v>
      </c>
      <c r="B84" s="90">
        <f>IF(Match!B38="","",Match!B38)</f>
        <v>46292</v>
      </c>
      <c r="C84" s="455">
        <f t="shared" si="8"/>
        <v>1</v>
      </c>
      <c r="G84" s="142" t="str">
        <f t="shared" si="5"/>
        <v>Austria draw</v>
      </c>
      <c r="H84" s="143" t="str">
        <f t="shared" si="6"/>
        <v>3/1</v>
      </c>
      <c r="I84" s="172">
        <f t="shared" si="7"/>
        <v>4</v>
      </c>
      <c r="J84" s="143">
        <f>INDEX(Picks!W:W,MATCH(G84,Picks!U:U,0))</f>
        <v>0</v>
      </c>
      <c r="K84" s="143">
        <f>IF(INDEX(Match!P:P,MATCH(A84,Match!A:A,0))="OFF",0,1)</f>
        <v>1</v>
      </c>
    </row>
    <row r="85" spans="1:11">
      <c r="A85" s="4">
        <v>38</v>
      </c>
      <c r="B85" s="90">
        <f>IF(Match!B39="","",Match!B39)</f>
        <v>46292</v>
      </c>
      <c r="C85" s="455">
        <f t="shared" si="8"/>
        <v>1</v>
      </c>
      <c r="G85" s="142" t="str">
        <f t="shared" si="5"/>
        <v>Denmark draw</v>
      </c>
      <c r="H85" s="143" t="str">
        <f t="shared" si="6"/>
        <v>27/10</v>
      </c>
      <c r="I85" s="172">
        <f t="shared" si="7"/>
        <v>3.7</v>
      </c>
      <c r="J85" s="143">
        <f>INDEX(Picks!W:W,MATCH(G85,Picks!U:U,0))</f>
        <v>0</v>
      </c>
      <c r="K85" s="143">
        <f>IF(INDEX(Match!P:P,MATCH(A85,Match!A:A,0))="OFF",0,1)</f>
        <v>1</v>
      </c>
    </row>
    <row r="86" spans="1:11">
      <c r="A86" s="4">
        <v>39</v>
      </c>
      <c r="B86" s="90">
        <f>IF(Match!B40="","",Match!B40)</f>
        <v>46292</v>
      </c>
      <c r="C86" s="455">
        <f t="shared" si="8"/>
        <v>1</v>
      </c>
      <c r="G86" s="142" t="str">
        <f t="shared" si="5"/>
        <v>Germany draw</v>
      </c>
      <c r="H86" s="143" t="str">
        <f t="shared" si="6"/>
        <v>19/5</v>
      </c>
      <c r="I86" s="172">
        <f t="shared" si="7"/>
        <v>4.8</v>
      </c>
      <c r="J86" s="143">
        <f>INDEX(Picks!W:W,MATCH(G86,Picks!U:U,0))</f>
        <v>0</v>
      </c>
      <c r="K86" s="143">
        <f>IF(INDEX(Match!P:P,MATCH(A86,Match!A:A,0))="OFF",0,1)</f>
        <v>1</v>
      </c>
    </row>
    <row r="87" spans="1:11">
      <c r="A87" s="4">
        <v>40</v>
      </c>
      <c r="B87" s="90">
        <f>IF(Match!B41="","",Match!B41)</f>
        <v>46292</v>
      </c>
      <c r="C87" s="455">
        <f t="shared" si="8"/>
        <v>1</v>
      </c>
      <c r="G87" s="142" t="str">
        <f t="shared" si="5"/>
        <v>Gibraltar draw</v>
      </c>
      <c r="H87" s="143" t="str">
        <f t="shared" si="6"/>
        <v>23/12</v>
      </c>
      <c r="I87" s="172">
        <f t="shared" si="7"/>
        <v>2.916666666666667</v>
      </c>
      <c r="J87" s="143">
        <f>INDEX(Picks!W:W,MATCH(G87,Picks!U:U,0))</f>
        <v>1</v>
      </c>
      <c r="K87" s="143">
        <f>IF(INDEX(Match!P:P,MATCH(A87,Match!A:A,0))="OFF",0,1)</f>
        <v>1</v>
      </c>
    </row>
    <row r="88" spans="1:11">
      <c r="A88" s="4">
        <v>41</v>
      </c>
      <c r="B88" s="90">
        <f>IF(Match!B42="","",Match!B42)</f>
        <v>46292</v>
      </c>
      <c r="C88" s="455">
        <f t="shared" si="8"/>
        <v>1</v>
      </c>
      <c r="G88" s="142" t="str">
        <f t="shared" si="5"/>
        <v>Israel draw</v>
      </c>
      <c r="H88" s="143" t="str">
        <f t="shared" si="6"/>
        <v>21/10</v>
      </c>
      <c r="I88" s="172">
        <f t="shared" si="7"/>
        <v>3.1</v>
      </c>
      <c r="J88" s="143">
        <f>INDEX(Picks!W:W,MATCH(G88,Picks!U:U,0))</f>
        <v>0</v>
      </c>
      <c r="K88" s="143">
        <f>IF(INDEX(Match!P:P,MATCH(A88,Match!A:A,0))="OFF",0,1)</f>
        <v>1</v>
      </c>
    </row>
    <row r="89" spans="1:11">
      <c r="A89" s="4">
        <v>42</v>
      </c>
      <c r="B89" s="90">
        <f>IF(Match!B43="","",Match!B43)</f>
        <v>46292</v>
      </c>
      <c r="C89" s="455">
        <f t="shared" si="8"/>
        <v>1</v>
      </c>
      <c r="G89" s="142" t="str">
        <f t="shared" si="5"/>
        <v>Lithuania draw</v>
      </c>
      <c r="H89" s="143" t="str">
        <f t="shared" si="6"/>
        <v>21/10</v>
      </c>
      <c r="I89" s="172">
        <f t="shared" si="7"/>
        <v>3.1</v>
      </c>
      <c r="J89" s="143">
        <f>INDEX(Picks!W:W,MATCH(G89,Picks!U:U,0))</f>
        <v>1</v>
      </c>
      <c r="K89" s="143">
        <f>IF(INDEX(Match!P:P,MATCH(A89,Match!A:A,0))="OFF",0,1)</f>
        <v>1</v>
      </c>
    </row>
    <row r="90" spans="1:11">
      <c r="A90" s="4">
        <v>43</v>
      </c>
      <c r="B90" s="90">
        <f>IF(Match!B44="","",Match!B44)</f>
        <v>46292</v>
      </c>
      <c r="C90" s="455">
        <f t="shared" si="8"/>
        <v>1</v>
      </c>
      <c r="G90" s="142" t="str">
        <f t="shared" si="5"/>
        <v>Norway draw</v>
      </c>
      <c r="H90" s="143" t="str">
        <f t="shared" si="6"/>
        <v>23/10</v>
      </c>
      <c r="I90" s="172">
        <f t="shared" si="7"/>
        <v>3.3</v>
      </c>
      <c r="J90" s="143">
        <f>INDEX(Picks!W:W,MATCH(G90,Picks!U:U,0))</f>
        <v>0</v>
      </c>
      <c r="K90" s="143">
        <f>IF(INDEX(Match!P:P,MATCH(A90,Match!A:A,0))="OFF",0,1)</f>
        <v>1</v>
      </c>
    </row>
    <row r="91" spans="1:11">
      <c r="A91" s="4">
        <v>44</v>
      </c>
      <c r="B91" s="90">
        <f>IF(Match!B45="","",Match!B45)</f>
        <v>46292</v>
      </c>
      <c r="C91" s="455">
        <f t="shared" si="8"/>
        <v>1</v>
      </c>
      <c r="G91" s="142" t="str">
        <f t="shared" si="5"/>
        <v>Serbia draw</v>
      </c>
      <c r="H91" s="143" t="str">
        <f t="shared" si="6"/>
        <v>14/5</v>
      </c>
      <c r="I91" s="172">
        <f t="shared" si="7"/>
        <v>3.8</v>
      </c>
      <c r="J91" s="143">
        <f>INDEX(Picks!W:W,MATCH(G91,Picks!U:U,0))</f>
        <v>0</v>
      </c>
      <c r="K91" s="143">
        <f>IF(INDEX(Match!P:P,MATCH(A91,Match!A:A,0))="OFF",0,1)</f>
        <v>1</v>
      </c>
    </row>
    <row r="92" spans="1:11">
      <c r="A92" s="4">
        <v>45</v>
      </c>
      <c r="B92" s="90" t="str">
        <f>IF(Match!B46="","",Match!B46)</f>
        <v/>
      </c>
      <c r="C92" s="455" t="str">
        <f t="shared" si="8"/>
        <v/>
      </c>
      <c r="G92" s="142" t="str">
        <f t="shared" si="5"/>
        <v/>
      </c>
      <c r="H92" s="143" t="str">
        <f t="shared" si="6"/>
        <v/>
      </c>
      <c r="I92" s="172" t="str">
        <f t="shared" si="7"/>
        <v/>
      </c>
      <c r="J92" s="143" t="e">
        <f>INDEX(Picks!W:W,MATCH(G92,Picks!U:U,0))</f>
        <v>#N/A</v>
      </c>
      <c r="K92" s="143">
        <f>IF(INDEX(Match!P:P,MATCH(A92,Match!A:A,0))="OFF",0,1)</f>
        <v>1</v>
      </c>
    </row>
    <row r="93" spans="1:11">
      <c r="A93" s="4">
        <v>46</v>
      </c>
      <c r="B93" s="90" t="str">
        <f>IF(Match!B47="","",Match!B47)</f>
        <v/>
      </c>
      <c r="C93" s="455" t="str">
        <f t="shared" si="8"/>
        <v/>
      </c>
      <c r="G93" s="142" t="str">
        <f t="shared" si="5"/>
        <v/>
      </c>
      <c r="H93" s="143" t="str">
        <f t="shared" si="6"/>
        <v/>
      </c>
      <c r="I93" s="172" t="str">
        <f t="shared" si="7"/>
        <v/>
      </c>
      <c r="J93" s="143" t="e">
        <f>INDEX(Picks!W:W,MATCH(G93,Picks!U:U,0))</f>
        <v>#N/A</v>
      </c>
      <c r="K93" s="143">
        <f>IF(INDEX(Match!P:P,MATCH(A93,Match!A:A,0))="OFF",0,1)</f>
        <v>1</v>
      </c>
    </row>
    <row r="94" spans="1:11">
      <c r="A94" s="4">
        <v>1</v>
      </c>
      <c r="B94" s="90">
        <f>IF(Match!B2="","",Match!B2)</f>
        <v>46290</v>
      </c>
      <c r="C94" s="455">
        <f t="shared" si="8"/>
        <v>6</v>
      </c>
      <c r="G94" s="144" t="str">
        <f t="shared" ref="G94:G133" si="9">IF(E2="","",N2)</f>
        <v>Latvia</v>
      </c>
      <c r="H94" s="145" t="str">
        <f t="shared" ref="H94:H133" si="10">IF(E2="","",P2)</f>
        <v>19/5</v>
      </c>
      <c r="I94" s="173">
        <f>IF(E2="","",S2)</f>
        <v>4.8</v>
      </c>
      <c r="J94" s="145">
        <f>INDEX(Picks!W:W,MATCH(G94,Picks!U:U,0))</f>
        <v>0</v>
      </c>
      <c r="K94" s="145">
        <f>IF(INDEX(Match!P:P,MATCH(A94,Match!A:A,0))="OFF",0,1)</f>
        <v>1</v>
      </c>
    </row>
    <row r="95" spans="1:11">
      <c r="A95" s="4">
        <v>2</v>
      </c>
      <c r="B95" s="90">
        <f>IF(Match!B3="","",Match!B3)</f>
        <v>46290</v>
      </c>
      <c r="C95" s="455">
        <f t="shared" si="8"/>
        <v>6</v>
      </c>
      <c r="E95" s="8"/>
      <c r="F95" s="8"/>
      <c r="G95" s="144" t="str">
        <f t="shared" si="9"/>
        <v>N Ireland</v>
      </c>
      <c r="H95" s="145" t="str">
        <f t="shared" si="10"/>
        <v>3/1</v>
      </c>
      <c r="I95" s="173">
        <f t="shared" ref="I95:I133" si="11">IF(E3="","",S3)</f>
        <v>4</v>
      </c>
      <c r="J95" s="145">
        <f>INDEX(Picks!W:W,MATCH(G95,Picks!U:U,0))</f>
        <v>1</v>
      </c>
      <c r="K95" s="145">
        <f>IF(INDEX(Match!P:P,MATCH(A95,Match!A:A,0))="OFF",0,1)</f>
        <v>1</v>
      </c>
    </row>
    <row r="96" spans="1:11">
      <c r="A96" s="4">
        <v>3</v>
      </c>
      <c r="B96" s="90">
        <f>IF(Match!B4="","",Match!B4)</f>
        <v>46290</v>
      </c>
      <c r="C96" s="455">
        <f t="shared" si="8"/>
        <v>6</v>
      </c>
      <c r="G96" s="144" t="str">
        <f t="shared" si="9"/>
        <v>Ukraine</v>
      </c>
      <c r="H96" s="145" t="str">
        <f t="shared" si="10"/>
        <v>11/5</v>
      </c>
      <c r="I96" s="173">
        <f t="shared" si="11"/>
        <v>3.2</v>
      </c>
      <c r="J96" s="145">
        <f>INDEX(Picks!W:W,MATCH(G96,Picks!U:U,0))</f>
        <v>1</v>
      </c>
      <c r="K96" s="145">
        <f>IF(INDEX(Match!P:P,MATCH(A96,Match!A:A,0))="OFF",0,1)</f>
        <v>1</v>
      </c>
    </row>
    <row r="97" spans="1:11">
      <c r="A97" s="4">
        <v>4</v>
      </c>
      <c r="B97" s="90">
        <f>IF(Match!B5="","",Match!B5)</f>
        <v>46290</v>
      </c>
      <c r="C97" s="455">
        <f t="shared" si="8"/>
        <v>6</v>
      </c>
      <c r="G97" s="144" t="str">
        <f t="shared" si="9"/>
        <v>Belgium</v>
      </c>
      <c r="H97" s="145" t="str">
        <f t="shared" si="10"/>
        <v>21/10</v>
      </c>
      <c r="I97" s="173">
        <f t="shared" si="11"/>
        <v>3.1</v>
      </c>
      <c r="J97" s="145">
        <f>INDEX(Picks!W:W,MATCH(G97,Picks!U:U,0))</f>
        <v>1</v>
      </c>
      <c r="K97" s="145">
        <f>IF(INDEX(Match!P:P,MATCH(A97,Match!A:A,0))="OFF",0,1)</f>
        <v>1</v>
      </c>
    </row>
    <row r="98" spans="1:11">
      <c r="A98" s="4">
        <v>5</v>
      </c>
      <c r="B98" s="90">
        <f>IF(Match!B6="","",Match!B6)</f>
        <v>46290</v>
      </c>
      <c r="C98" s="455">
        <f t="shared" si="8"/>
        <v>6</v>
      </c>
      <c r="G98" s="144" t="str">
        <f t="shared" si="9"/>
        <v>Cyprus</v>
      </c>
      <c r="H98" s="145" t="str">
        <f t="shared" si="10"/>
        <v>15/4</v>
      </c>
      <c r="I98" s="173">
        <f t="shared" si="11"/>
        <v>4.75</v>
      </c>
      <c r="J98" s="145">
        <f>INDEX(Picks!W:W,MATCH(G98,Picks!U:U,0))</f>
        <v>0</v>
      </c>
      <c r="K98" s="145">
        <f>IF(INDEX(Match!P:P,MATCH(A98,Match!A:A,0))="OFF",0,1)</f>
        <v>1</v>
      </c>
    </row>
    <row r="99" spans="1:11">
      <c r="A99" s="4">
        <v>6</v>
      </c>
      <c r="B99" s="90">
        <f>IF(Match!B7="","",Match!B7)</f>
        <v>46290</v>
      </c>
      <c r="C99" s="455">
        <f t="shared" si="8"/>
        <v>6</v>
      </c>
      <c r="G99" s="144" t="str">
        <f t="shared" si="9"/>
        <v>Bosnia</v>
      </c>
      <c r="H99" s="145" t="str">
        <f t="shared" si="10"/>
        <v>19/5</v>
      </c>
      <c r="I99" s="173">
        <f t="shared" si="11"/>
        <v>4.8</v>
      </c>
      <c r="J99" s="145">
        <f>INDEX(Picks!W:W,MATCH(G99,Picks!U:U,0))</f>
        <v>0</v>
      </c>
      <c r="K99" s="145">
        <f>IF(INDEX(Match!P:P,MATCH(A99,Match!A:A,0))="OFF",0,1)</f>
        <v>1</v>
      </c>
    </row>
    <row r="100" spans="1:11">
      <c r="A100" s="4">
        <v>7</v>
      </c>
      <c r="B100" s="90">
        <f>IF(Match!B8="","",Match!B8)</f>
        <v>46290</v>
      </c>
      <c r="C100" s="455">
        <f t="shared" si="8"/>
        <v>6</v>
      </c>
      <c r="G100" s="144" t="str">
        <f t="shared" si="9"/>
        <v>Romania</v>
      </c>
      <c r="H100" s="145" t="str">
        <f t="shared" si="10"/>
        <v>9/2</v>
      </c>
      <c r="I100" s="173">
        <f t="shared" si="11"/>
        <v>5.5</v>
      </c>
      <c r="J100" s="145">
        <f>INDEX(Picks!W:W,MATCH(G100,Picks!U:U,0))</f>
        <v>0</v>
      </c>
      <c r="K100" s="145">
        <f>IF(INDEX(Match!P:P,MATCH(A100,Match!A:A,0))="OFF",0,1)</f>
        <v>1</v>
      </c>
    </row>
    <row r="101" spans="1:11">
      <c r="A101" s="4">
        <v>8</v>
      </c>
      <c r="B101" s="90">
        <f>IF(Match!B9="","",Match!B9)</f>
        <v>46290</v>
      </c>
      <c r="C101" s="455">
        <f t="shared" si="8"/>
        <v>6</v>
      </c>
      <c r="G101" s="144" t="str">
        <f t="shared" si="9"/>
        <v>France</v>
      </c>
      <c r="H101" s="145" t="str">
        <f t="shared" si="10"/>
        <v>4/9</v>
      </c>
      <c r="I101" s="173">
        <f t="shared" si="11"/>
        <v>1.4444444444444444</v>
      </c>
      <c r="J101" s="145">
        <f>INDEX(Picks!W:W,MATCH(G101,Picks!U:U,0))</f>
        <v>1</v>
      </c>
      <c r="K101" s="145">
        <f>IF(INDEX(Match!P:P,MATCH(A101,Match!A:A,0))="OFF",0,1)</f>
        <v>1</v>
      </c>
    </row>
    <row r="102" spans="1:11">
      <c r="A102" s="4">
        <v>9</v>
      </c>
      <c r="B102" s="90">
        <f>IF(Match!B10="","",Match!B10)</f>
        <v>46291</v>
      </c>
      <c r="C102" s="455">
        <f t="shared" si="8"/>
        <v>7</v>
      </c>
      <c r="G102" s="144" t="str">
        <f t="shared" si="9"/>
        <v>Wimbledon</v>
      </c>
      <c r="H102" s="145" t="str">
        <f t="shared" si="10"/>
        <v>3/1</v>
      </c>
      <c r="I102" s="173">
        <f t="shared" si="11"/>
        <v>4</v>
      </c>
      <c r="J102" s="145">
        <f>INDEX(Picks!W:W,MATCH(G102,Picks!U:U,0))</f>
        <v>0</v>
      </c>
      <c r="K102" s="145">
        <f>IF(INDEX(Match!P:P,MATCH(A102,Match!A:A,0))="OFF",0,1)</f>
        <v>1</v>
      </c>
    </row>
    <row r="103" spans="1:11">
      <c r="A103" s="4">
        <v>10</v>
      </c>
      <c r="B103" s="90">
        <f>IF(Match!B11="","",Match!B11)</f>
        <v>46291</v>
      </c>
      <c r="C103" s="455">
        <f t="shared" si="8"/>
        <v>7</v>
      </c>
      <c r="G103" s="144" t="str">
        <f t="shared" si="9"/>
        <v>Burton</v>
      </c>
      <c r="H103" s="145" t="str">
        <f t="shared" si="10"/>
        <v>18/5</v>
      </c>
      <c r="I103" s="173">
        <f t="shared" si="11"/>
        <v>4.5999999999999996</v>
      </c>
      <c r="J103" s="145">
        <f>INDEX(Picks!W:W,MATCH(G103,Picks!U:U,0))</f>
        <v>1</v>
      </c>
      <c r="K103" s="145">
        <f>IF(INDEX(Match!P:P,MATCH(A103,Match!A:A,0))="OFF",0,1)</f>
        <v>1</v>
      </c>
    </row>
    <row r="104" spans="1:11">
      <c r="A104" s="4">
        <v>11</v>
      </c>
      <c r="B104" s="90">
        <f>IF(Match!B12="","",Match!B12)</f>
        <v>46291</v>
      </c>
      <c r="C104" s="455">
        <f t="shared" si="8"/>
        <v>7</v>
      </c>
      <c r="G104" s="144" t="str">
        <f t="shared" si="9"/>
        <v>Peterbro</v>
      </c>
      <c r="H104" s="145" t="str">
        <f t="shared" si="10"/>
        <v>11/2</v>
      </c>
      <c r="I104" s="173">
        <f t="shared" si="11"/>
        <v>6.5</v>
      </c>
      <c r="J104" s="145">
        <f>INDEX(Picks!W:W,MATCH(G104,Picks!U:U,0))</f>
        <v>0</v>
      </c>
      <c r="K104" s="145">
        <f>IF(INDEX(Match!P:P,MATCH(A104,Match!A:A,0))="OFF",0,1)</f>
        <v>1</v>
      </c>
    </row>
    <row r="105" spans="1:11">
      <c r="A105" s="4">
        <v>12</v>
      </c>
      <c r="B105" s="90">
        <f>IF(Match!B13="","",Match!B13)</f>
        <v>46291</v>
      </c>
      <c r="C105" s="455">
        <f t="shared" si="8"/>
        <v>7</v>
      </c>
      <c r="G105" s="144" t="str">
        <f t="shared" si="9"/>
        <v>Reading</v>
      </c>
      <c r="H105" s="145" t="str">
        <f t="shared" si="10"/>
        <v>6/4</v>
      </c>
      <c r="I105" s="173">
        <f t="shared" si="11"/>
        <v>2.5</v>
      </c>
      <c r="J105" s="145">
        <f>INDEX(Picks!W:W,MATCH(G105,Picks!U:U,0))</f>
        <v>0</v>
      </c>
      <c r="K105" s="145">
        <f>IF(INDEX(Match!P:P,MATCH(A105,Match!A:A,0))="OFF",0,1)</f>
        <v>1</v>
      </c>
    </row>
    <row r="106" spans="1:11">
      <c r="A106" s="4">
        <v>13</v>
      </c>
      <c r="B106" s="90">
        <f>IF(Match!B14="","",Match!B14)</f>
        <v>46291</v>
      </c>
      <c r="C106" s="455">
        <f t="shared" si="8"/>
        <v>7</v>
      </c>
      <c r="G106" s="144" t="str">
        <f t="shared" si="9"/>
        <v>Exeter</v>
      </c>
      <c r="H106" s="145" t="str">
        <f t="shared" si="10"/>
        <v>3/1</v>
      </c>
      <c r="I106" s="173">
        <f t="shared" si="11"/>
        <v>4</v>
      </c>
      <c r="J106" s="145">
        <f>INDEX(Picks!W:W,MATCH(G106,Picks!U:U,0))</f>
        <v>0</v>
      </c>
      <c r="K106" s="145">
        <f>IF(INDEX(Match!P:P,MATCH(A106,Match!A:A,0))="OFF",0,1)</f>
        <v>1</v>
      </c>
    </row>
    <row r="107" spans="1:11">
      <c r="A107" s="4">
        <v>14</v>
      </c>
      <c r="B107" s="90">
        <f>IF(Match!B15="","",Match!B15)</f>
        <v>46291</v>
      </c>
      <c r="C107" s="455">
        <f t="shared" si="8"/>
        <v>7</v>
      </c>
      <c r="G107" s="144" t="str">
        <f t="shared" si="9"/>
        <v>Chesterfield</v>
      </c>
      <c r="H107" s="145" t="str">
        <f t="shared" si="10"/>
        <v>23/20</v>
      </c>
      <c r="I107" s="173">
        <f t="shared" si="11"/>
        <v>2.15</v>
      </c>
      <c r="J107" s="145">
        <f>INDEX(Picks!W:W,MATCH(G107,Picks!U:U,0))</f>
        <v>0</v>
      </c>
      <c r="K107" s="145">
        <f>IF(INDEX(Match!P:P,MATCH(A107,Match!A:A,0))="OFF",0,1)</f>
        <v>1</v>
      </c>
    </row>
    <row r="108" spans="1:11">
      <c r="A108" s="4">
        <v>15</v>
      </c>
      <c r="B108" s="90">
        <f>IF(Match!B16="","",Match!B16)</f>
        <v>46291</v>
      </c>
      <c r="C108" s="455">
        <f t="shared" si="8"/>
        <v>7</v>
      </c>
      <c r="G108" s="144" t="str">
        <f t="shared" si="9"/>
        <v>Rochdale</v>
      </c>
      <c r="H108" s="145" t="str">
        <f t="shared" si="10"/>
        <v>14/5</v>
      </c>
      <c r="I108" s="173">
        <f t="shared" si="11"/>
        <v>3.8</v>
      </c>
      <c r="J108" s="145">
        <f>INDEX(Picks!W:W,MATCH(G108,Picks!U:U,0))</f>
        <v>1</v>
      </c>
      <c r="K108" s="145">
        <f>IF(INDEX(Match!P:P,MATCH(A108,Match!A:A,0))="OFF",0,1)</f>
        <v>1</v>
      </c>
    </row>
    <row r="109" spans="1:11">
      <c r="A109" s="4">
        <v>16</v>
      </c>
      <c r="B109" s="90">
        <f>IF(Match!B17="","",Match!B17)</f>
        <v>46291</v>
      </c>
      <c r="C109" s="455">
        <f t="shared" si="8"/>
        <v>7</v>
      </c>
      <c r="G109" s="144" t="str">
        <f t="shared" si="9"/>
        <v>Grimsby</v>
      </c>
      <c r="H109" s="145" t="str">
        <f t="shared" si="10"/>
        <v>4/5</v>
      </c>
      <c r="I109" s="173">
        <f t="shared" si="11"/>
        <v>1.8</v>
      </c>
      <c r="J109" s="145">
        <f>INDEX(Picks!W:W,MATCH(G109,Picks!U:U,0))</f>
        <v>0</v>
      </c>
      <c r="K109" s="145">
        <f>IF(INDEX(Match!P:P,MATCH(A109,Match!A:A,0))="OFF",0,1)</f>
        <v>1</v>
      </c>
    </row>
    <row r="110" spans="1:11">
      <c r="A110" s="4">
        <v>17</v>
      </c>
      <c r="B110" s="90">
        <f>IF(Match!B18="","",Match!B18)</f>
        <v>46291</v>
      </c>
      <c r="C110" s="455">
        <f t="shared" si="8"/>
        <v>7</v>
      </c>
      <c r="G110" s="144" t="str">
        <f t="shared" si="9"/>
        <v>Salford</v>
      </c>
      <c r="H110" s="145" t="str">
        <f t="shared" si="10"/>
        <v>17/20</v>
      </c>
      <c r="I110" s="173">
        <f t="shared" si="11"/>
        <v>1.85</v>
      </c>
      <c r="J110" s="145">
        <f>INDEX(Picks!W:W,MATCH(G110,Picks!U:U,0))</f>
        <v>1</v>
      </c>
      <c r="K110" s="145">
        <f>IF(INDEX(Match!P:P,MATCH(A110,Match!A:A,0))="OFF",0,1)</f>
        <v>1</v>
      </c>
    </row>
    <row r="111" spans="1:11">
      <c r="A111" s="4">
        <v>18</v>
      </c>
      <c r="B111" s="90">
        <f>IF(Match!B19="","",Match!B19)</f>
        <v>46291</v>
      </c>
      <c r="C111" s="455">
        <f t="shared" si="8"/>
        <v>7</v>
      </c>
      <c r="G111" s="144" t="str">
        <f t="shared" si="9"/>
        <v>Crewe</v>
      </c>
      <c r="H111" s="145" t="str">
        <f t="shared" si="10"/>
        <v>21/10</v>
      </c>
      <c r="I111" s="173">
        <f t="shared" si="11"/>
        <v>3.1</v>
      </c>
      <c r="J111" s="145">
        <f>INDEX(Picks!W:W,MATCH(G111,Picks!U:U,0))</f>
        <v>0</v>
      </c>
      <c r="K111" s="145">
        <f>IF(INDEX(Match!P:P,MATCH(A111,Match!A:A,0))="OFF",0,1)</f>
        <v>1</v>
      </c>
    </row>
    <row r="112" spans="1:11">
      <c r="A112" s="4">
        <v>19</v>
      </c>
      <c r="B112" s="90">
        <f>IF(Match!B20="","",Match!B20)</f>
        <v>46291</v>
      </c>
      <c r="C112" s="455">
        <f t="shared" si="8"/>
        <v>7</v>
      </c>
      <c r="G112" s="144" t="str">
        <f t="shared" si="9"/>
        <v>Colchester</v>
      </c>
      <c r="H112" s="145" t="str">
        <f t="shared" si="10"/>
        <v>17/10</v>
      </c>
      <c r="I112" s="173">
        <f t="shared" si="11"/>
        <v>2.7</v>
      </c>
      <c r="J112" s="145">
        <f>INDEX(Picks!W:W,MATCH(G112,Picks!U:U,0))</f>
        <v>0</v>
      </c>
      <c r="K112" s="145">
        <f>IF(INDEX(Match!P:P,MATCH(A112,Match!A:A,0))="OFF",0,1)</f>
        <v>1</v>
      </c>
    </row>
    <row r="113" spans="1:11">
      <c r="A113" s="4">
        <v>20</v>
      </c>
      <c r="B113" s="90">
        <f>IF(Match!B21="","",Match!B21)</f>
        <v>46291</v>
      </c>
      <c r="C113" s="455">
        <f t="shared" si="8"/>
        <v>7</v>
      </c>
      <c r="G113" s="144" t="str">
        <f t="shared" si="9"/>
        <v>Accrington</v>
      </c>
      <c r="H113" s="145" t="str">
        <f t="shared" si="10"/>
        <v>11/5</v>
      </c>
      <c r="I113" s="173">
        <f t="shared" si="11"/>
        <v>3.2</v>
      </c>
      <c r="J113" s="145">
        <f>INDEX(Picks!W:W,MATCH(G113,Picks!U:U,0))</f>
        <v>0</v>
      </c>
      <c r="K113" s="145">
        <f>IF(INDEX(Match!P:P,MATCH(A113,Match!A:A,0))="OFF",0,1)</f>
        <v>1</v>
      </c>
    </row>
    <row r="114" spans="1:11">
      <c r="A114" s="4">
        <v>21</v>
      </c>
      <c r="B114" s="90">
        <f>IF(Match!B22="","",Match!B22)</f>
        <v>46291</v>
      </c>
      <c r="C114" s="455">
        <f t="shared" si="8"/>
        <v>7</v>
      </c>
      <c r="G114" s="144" t="str">
        <f t="shared" si="9"/>
        <v>Walsall</v>
      </c>
      <c r="H114" s="145" t="str">
        <f t="shared" si="10"/>
        <v>17/10</v>
      </c>
      <c r="I114" s="173">
        <f t="shared" si="11"/>
        <v>2.7</v>
      </c>
      <c r="J114" s="145">
        <f>INDEX(Picks!W:W,MATCH(G114,Picks!U:U,0))</f>
        <v>0</v>
      </c>
      <c r="K114" s="145">
        <f>IF(INDEX(Match!P:P,MATCH(A114,Match!A:A,0))="OFF",0,1)</f>
        <v>1</v>
      </c>
    </row>
    <row r="115" spans="1:11">
      <c r="A115" s="4">
        <v>22</v>
      </c>
      <c r="B115" s="90">
        <f>IF(Match!B23="","",Match!B23)</f>
        <v>46291</v>
      </c>
      <c r="C115" s="455">
        <f t="shared" si="8"/>
        <v>7</v>
      </c>
      <c r="G115" s="144" t="str">
        <f t="shared" si="9"/>
        <v>Gillingham</v>
      </c>
      <c r="H115" s="145" t="str">
        <f t="shared" si="10"/>
        <v>4/1</v>
      </c>
      <c r="I115" s="173">
        <f t="shared" si="11"/>
        <v>5</v>
      </c>
      <c r="J115" s="145">
        <f>INDEX(Picks!W:W,MATCH(G115,Picks!U:U,0))</f>
        <v>0</v>
      </c>
      <c r="K115" s="145">
        <f>IF(INDEX(Match!P:P,MATCH(A115,Match!A:A,0))="OFF",0,1)</f>
        <v>1</v>
      </c>
    </row>
    <row r="116" spans="1:11">
      <c r="A116" s="4">
        <v>23</v>
      </c>
      <c r="B116" s="90">
        <f>IF(Match!B24="","",Match!B24)</f>
        <v>46291</v>
      </c>
      <c r="C116" s="455">
        <f t="shared" si="8"/>
        <v>7</v>
      </c>
      <c r="G116" s="144" t="str">
        <f t="shared" si="9"/>
        <v>Belarus</v>
      </c>
      <c r="H116" s="145" t="str">
        <f t="shared" si="10"/>
        <v>6/1</v>
      </c>
      <c r="I116" s="173">
        <f t="shared" si="11"/>
        <v>7</v>
      </c>
      <c r="J116" s="145">
        <f>INDEX(Picks!W:W,MATCH(G116,Picks!U:U,0))</f>
        <v>0</v>
      </c>
      <c r="K116" s="145">
        <f>IF(INDEX(Match!P:P,MATCH(A116,Match!A:A,0))="OFF",0,1)</f>
        <v>1</v>
      </c>
    </row>
    <row r="117" spans="1:11">
      <c r="A117" s="4">
        <v>24</v>
      </c>
      <c r="B117" s="90">
        <f>IF(Match!B25="","",Match!B25)</f>
        <v>46291</v>
      </c>
      <c r="C117" s="455">
        <f t="shared" si="8"/>
        <v>7</v>
      </c>
      <c r="G117" s="144" t="str">
        <f t="shared" si="9"/>
        <v>Luxembourg</v>
      </c>
      <c r="H117" s="145" t="str">
        <f t="shared" si="10"/>
        <v>23/10</v>
      </c>
      <c r="I117" s="173">
        <f t="shared" si="11"/>
        <v>3.3</v>
      </c>
      <c r="J117" s="145">
        <f>INDEX(Picks!W:W,MATCH(G117,Picks!U:U,0))</f>
        <v>1</v>
      </c>
      <c r="K117" s="145">
        <f>IF(INDEX(Match!P:P,MATCH(A117,Match!A:A,0))="OFF",0,1)</f>
        <v>1</v>
      </c>
    </row>
    <row r="118" spans="1:11">
      <c r="A118" s="4">
        <v>25</v>
      </c>
      <c r="B118" s="90">
        <f>IF(Match!B26="","",Match!B26)</f>
        <v>46291</v>
      </c>
      <c r="C118" s="455">
        <f t="shared" si="8"/>
        <v>7</v>
      </c>
      <c r="G118" s="144" t="str">
        <f t="shared" si="9"/>
        <v>Croatia</v>
      </c>
      <c r="H118" s="145" t="str">
        <f t="shared" si="10"/>
        <v>23/20</v>
      </c>
      <c r="I118" s="173">
        <f t="shared" si="11"/>
        <v>2.15</v>
      </c>
      <c r="J118" s="145">
        <f>INDEX(Picks!W:W,MATCH(G118,Picks!U:U,0))</f>
        <v>1</v>
      </c>
      <c r="K118" s="145">
        <f>IF(INDEX(Match!P:P,MATCH(A118,Match!A:A,0))="OFF",0,1)</f>
        <v>1</v>
      </c>
    </row>
    <row r="119" spans="1:11">
      <c r="A119" s="4">
        <v>26</v>
      </c>
      <c r="B119" s="90">
        <f>IF(Match!B27="","",Match!B27)</f>
        <v>46291</v>
      </c>
      <c r="C119" s="455">
        <f t="shared" si="8"/>
        <v>7</v>
      </c>
      <c r="G119" s="144" t="str">
        <f t="shared" si="9"/>
        <v>Spain</v>
      </c>
      <c r="H119" s="145" t="str">
        <f t="shared" si="10"/>
        <v>7/5</v>
      </c>
      <c r="I119" s="173">
        <f t="shared" si="11"/>
        <v>2.4</v>
      </c>
      <c r="J119" s="145">
        <f>INDEX(Picks!W:W,MATCH(G119,Picks!U:U,0))</f>
        <v>1</v>
      </c>
      <c r="K119" s="145">
        <f>IF(INDEX(Match!P:P,MATCH(A119,Match!A:A,0))="OFF",0,1)</f>
        <v>1</v>
      </c>
    </row>
    <row r="120" spans="1:11">
      <c r="A120" s="4">
        <v>27</v>
      </c>
      <c r="B120" s="90">
        <f>IF(Match!B28="","",Match!B28)</f>
        <v>46291</v>
      </c>
      <c r="C120" s="455">
        <f t="shared" si="8"/>
        <v>7</v>
      </c>
      <c r="G120" s="144" t="str">
        <f t="shared" si="9"/>
        <v>Kazakhstan</v>
      </c>
      <c r="H120" s="145" t="str">
        <f t="shared" si="10"/>
        <v>21/10</v>
      </c>
      <c r="I120" s="173">
        <f t="shared" si="11"/>
        <v>3.1</v>
      </c>
      <c r="J120" s="145">
        <f>INDEX(Picks!W:W,MATCH(G120,Picks!U:U,0))</f>
        <v>0</v>
      </c>
      <c r="K120" s="145">
        <f>IF(INDEX(Match!P:P,MATCH(A120,Match!A:A,0))="OFF",0,1)</f>
        <v>1</v>
      </c>
    </row>
    <row r="121" spans="1:11">
      <c r="A121" s="4">
        <v>28</v>
      </c>
      <c r="B121" s="90">
        <f>IF(Match!B29="","",Match!B29)</f>
        <v>46291</v>
      </c>
      <c r="C121" s="455">
        <f t="shared" si="8"/>
        <v>7</v>
      </c>
      <c r="G121" s="144" t="str">
        <f t="shared" si="9"/>
        <v>Estonia</v>
      </c>
      <c r="H121" s="145" t="str">
        <f t="shared" si="10"/>
        <v>9/1</v>
      </c>
      <c r="I121" s="173">
        <f t="shared" si="11"/>
        <v>10</v>
      </c>
      <c r="J121" s="145">
        <f>INDEX(Picks!W:W,MATCH(G121,Picks!U:U,0))</f>
        <v>0</v>
      </c>
      <c r="K121" s="145">
        <f>IF(INDEX(Match!P:P,MATCH(A121,Match!A:A,0))="OFF",0,1)</f>
        <v>1</v>
      </c>
    </row>
    <row r="122" spans="1:11">
      <c r="A122" s="4">
        <v>29</v>
      </c>
      <c r="B122" s="90">
        <f>IF(Match!B30="","",Match!B30)</f>
        <v>46291</v>
      </c>
      <c r="C122" s="455">
        <f t="shared" si="8"/>
        <v>7</v>
      </c>
      <c r="G122" s="144" t="str">
        <f t="shared" si="9"/>
        <v>Switzerland</v>
      </c>
      <c r="H122" s="145" t="str">
        <f t="shared" si="10"/>
        <v>4/11</v>
      </c>
      <c r="I122" s="173">
        <f t="shared" si="11"/>
        <v>1.3636363636363638</v>
      </c>
      <c r="J122" s="145">
        <f>INDEX(Picks!W:W,MATCH(G122,Picks!U:U,0))</f>
        <v>1</v>
      </c>
      <c r="K122" s="145">
        <f>IF(INDEX(Match!P:P,MATCH(A122,Match!A:A,0))="OFF",0,1)</f>
        <v>1</v>
      </c>
    </row>
    <row r="123" spans="1:11">
      <c r="A123" s="4">
        <v>30</v>
      </c>
      <c r="B123" s="90">
        <f>IF(Match!B31="","",Match!B31)</f>
        <v>46291</v>
      </c>
      <c r="C123" s="455">
        <f t="shared" si="8"/>
        <v>7</v>
      </c>
      <c r="G123" s="144" t="str">
        <f t="shared" si="9"/>
        <v>Finland</v>
      </c>
      <c r="H123" s="145" t="str">
        <f t="shared" si="10"/>
        <v>1/10</v>
      </c>
      <c r="I123" s="173">
        <f t="shared" si="11"/>
        <v>1.1000000000000001</v>
      </c>
      <c r="J123" s="145">
        <f>INDEX(Picks!W:W,MATCH(G123,Picks!U:U,0))</f>
        <v>1</v>
      </c>
      <c r="K123" s="145">
        <f>IF(INDEX(Match!P:P,MATCH(A123,Match!A:A,0))="OFF",0,1)</f>
        <v>1</v>
      </c>
    </row>
    <row r="124" spans="1:11">
      <c r="A124" s="4">
        <v>31</v>
      </c>
      <c r="B124" s="90">
        <f>IF(Match!B32="","",Match!B32)</f>
        <v>46291</v>
      </c>
      <c r="C124" s="455">
        <f t="shared" si="8"/>
        <v>7</v>
      </c>
      <c r="G124" s="144" t="str">
        <f t="shared" si="9"/>
        <v>Moldova</v>
      </c>
      <c r="H124" s="145" t="str">
        <f t="shared" si="10"/>
        <v>10/1</v>
      </c>
      <c r="I124" s="173">
        <f t="shared" si="11"/>
        <v>11</v>
      </c>
      <c r="J124" s="145">
        <f>INDEX(Picks!W:W,MATCH(G124,Picks!U:U,0))</f>
        <v>0</v>
      </c>
      <c r="K124" s="145">
        <f>IF(INDEX(Match!P:P,MATCH(A124,Match!A:A,0))="OFF",0,1)</f>
        <v>1</v>
      </c>
    </row>
    <row r="125" spans="1:11">
      <c r="A125" s="4">
        <v>32</v>
      </c>
      <c r="B125" s="90">
        <f>IF(Match!B33="","",Match!B33)</f>
        <v>46291</v>
      </c>
      <c r="C125" s="455">
        <f t="shared" si="8"/>
        <v>7</v>
      </c>
      <c r="G125" s="144" t="str">
        <f t="shared" si="9"/>
        <v>Scotland</v>
      </c>
      <c r="H125" s="145" t="str">
        <f t="shared" si="10"/>
        <v>17/10</v>
      </c>
      <c r="I125" s="173">
        <f t="shared" si="11"/>
        <v>2.7</v>
      </c>
      <c r="J125" s="145">
        <f>INDEX(Picks!W:W,MATCH(G125,Picks!U:U,0))</f>
        <v>0</v>
      </c>
      <c r="K125" s="145">
        <f>IF(INDEX(Match!P:P,MATCH(A125,Match!A:A,0))="OFF",0,1)</f>
        <v>1</v>
      </c>
    </row>
    <row r="126" spans="1:11">
      <c r="A126" s="4">
        <v>33</v>
      </c>
      <c r="B126" s="90">
        <f>IF(Match!B34="","",Match!B34)</f>
        <v>46292</v>
      </c>
      <c r="C126" s="455">
        <f t="shared" si="8"/>
        <v>1</v>
      </c>
      <c r="G126" s="144" t="str">
        <f t="shared" si="9"/>
        <v>Tamworth</v>
      </c>
      <c r="H126" s="145" t="str">
        <f t="shared" si="10"/>
        <v>6/4</v>
      </c>
      <c r="I126" s="173">
        <f t="shared" si="11"/>
        <v>2.5</v>
      </c>
      <c r="J126" s="145">
        <f>INDEX(Picks!W:W,MATCH(G126,Picks!U:U,0))</f>
        <v>0</v>
      </c>
      <c r="K126" s="145">
        <f>IF(INDEX(Match!P:P,MATCH(A126,Match!A:A,0))="OFF",0,1)</f>
        <v>1</v>
      </c>
    </row>
    <row r="127" spans="1:11">
      <c r="A127" s="4">
        <v>34</v>
      </c>
      <c r="B127" s="90">
        <f>IF(Match!B35="","",Match!B35)</f>
        <v>46292</v>
      </c>
      <c r="C127" s="455">
        <f t="shared" si="8"/>
        <v>1</v>
      </c>
      <c r="G127" s="144" t="str">
        <f t="shared" si="9"/>
        <v>AFC Hornchurch</v>
      </c>
      <c r="H127" s="145" t="str">
        <f t="shared" si="10"/>
        <v>19/10</v>
      </c>
      <c r="I127" s="173">
        <f t="shared" si="11"/>
        <v>2.9</v>
      </c>
      <c r="J127" s="145">
        <f>INDEX(Picks!W:W,MATCH(G127,Picks!U:U,0))</f>
        <v>0</v>
      </c>
      <c r="K127" s="145">
        <f>IF(INDEX(Match!P:P,MATCH(A127,Match!A:A,0))="OFF",0,1)</f>
        <v>1</v>
      </c>
    </row>
    <row r="128" spans="1:11">
      <c r="A128" s="4">
        <v>35</v>
      </c>
      <c r="B128" s="90">
        <f>IF(Match!B36="","",Match!B36)</f>
        <v>46292</v>
      </c>
      <c r="C128" s="455">
        <f t="shared" si="8"/>
        <v>1</v>
      </c>
      <c r="G128" s="144" t="str">
        <f t="shared" si="9"/>
        <v>Hartlepool</v>
      </c>
      <c r="H128" s="145" t="str">
        <f t="shared" si="10"/>
        <v>11/5</v>
      </c>
      <c r="I128" s="173">
        <f t="shared" si="11"/>
        <v>3.2</v>
      </c>
      <c r="J128" s="145">
        <f>INDEX(Picks!W:W,MATCH(G128,Picks!U:U,0))</f>
        <v>0</v>
      </c>
      <c r="K128" s="145">
        <f>IF(INDEX(Match!P:P,MATCH(A128,Match!A:A,0))="OFF",0,1)</f>
        <v>1</v>
      </c>
    </row>
    <row r="129" spans="1:11">
      <c r="A129" s="4">
        <v>36</v>
      </c>
      <c r="B129" s="90">
        <f>IF(Match!B37="","",Match!B37)</f>
        <v>46292</v>
      </c>
      <c r="C129" s="455">
        <f t="shared" si="8"/>
        <v>1</v>
      </c>
      <c r="G129" s="144" t="str">
        <f t="shared" si="9"/>
        <v>Barrow</v>
      </c>
      <c r="H129" s="145" t="str">
        <f t="shared" si="10"/>
        <v>3/1</v>
      </c>
      <c r="I129" s="173">
        <f t="shared" si="11"/>
        <v>4</v>
      </c>
      <c r="J129" s="145">
        <f>INDEX(Picks!W:W,MATCH(G129,Picks!U:U,0))</f>
        <v>1</v>
      </c>
      <c r="K129" s="145">
        <f>IF(INDEX(Match!P:P,MATCH(A129,Match!A:A,0))="OFF",0,1)</f>
        <v>1</v>
      </c>
    </row>
    <row r="130" spans="1:11">
      <c r="A130" s="4">
        <v>37</v>
      </c>
      <c r="B130" s="90">
        <f>IF(Match!B38="","",Match!B38)</f>
        <v>46292</v>
      </c>
      <c r="C130" s="455">
        <f t="shared" si="8"/>
        <v>1</v>
      </c>
      <c r="G130" s="144" t="str">
        <f t="shared" si="9"/>
        <v>Kosovo</v>
      </c>
      <c r="H130" s="145" t="str">
        <f t="shared" si="10"/>
        <v>24/5</v>
      </c>
      <c r="I130" s="173">
        <f t="shared" si="11"/>
        <v>5.8</v>
      </c>
      <c r="J130" s="145">
        <f>INDEX(Picks!W:W,MATCH(G130,Picks!U:U,0))</f>
        <v>0</v>
      </c>
      <c r="K130" s="145">
        <f>IF(INDEX(Match!P:P,MATCH(A130,Match!A:A,0))="OFF",0,1)</f>
        <v>1</v>
      </c>
    </row>
    <row r="131" spans="1:11">
      <c r="A131" s="4">
        <v>38</v>
      </c>
      <c r="B131" s="90">
        <f>IF(Match!B39="","",Match!B39)</f>
        <v>46292</v>
      </c>
      <c r="C131" s="455">
        <f t="shared" ref="C131:C139" si="12">IF(B131="","",WEEKDAY(B131))</f>
        <v>1</v>
      </c>
      <c r="G131" s="144" t="str">
        <f t="shared" si="9"/>
        <v>Wales</v>
      </c>
      <c r="H131" s="145" t="str">
        <f t="shared" si="10"/>
        <v>4/1</v>
      </c>
      <c r="I131" s="173">
        <f t="shared" si="11"/>
        <v>5</v>
      </c>
      <c r="J131" s="145">
        <f>INDEX(Picks!W:W,MATCH(G131,Picks!U:U,0))</f>
        <v>0</v>
      </c>
      <c r="K131" s="145">
        <f>IF(INDEX(Match!P:P,MATCH(A131,Match!A:A,0))="OFF",0,1)</f>
        <v>1</v>
      </c>
    </row>
    <row r="132" spans="1:11">
      <c r="A132" s="4">
        <v>39</v>
      </c>
      <c r="B132" s="90">
        <f>IF(Match!B40="","",Match!B40)</f>
        <v>46292</v>
      </c>
      <c r="C132" s="455">
        <f t="shared" si="12"/>
        <v>1</v>
      </c>
      <c r="G132" s="144" t="str">
        <f t="shared" si="9"/>
        <v>Greece</v>
      </c>
      <c r="H132" s="145" t="str">
        <f t="shared" si="10"/>
        <v>6/1</v>
      </c>
      <c r="I132" s="173">
        <f t="shared" si="11"/>
        <v>7</v>
      </c>
      <c r="J132" s="145">
        <f>INDEX(Picks!W:W,MATCH(G132,Picks!U:U,0))</f>
        <v>1</v>
      </c>
      <c r="K132" s="145">
        <f>IF(INDEX(Match!P:P,MATCH(A132,Match!A:A,0))="OFF",0,1)</f>
        <v>1</v>
      </c>
    </row>
    <row r="133" spans="1:11">
      <c r="A133" s="4">
        <v>40</v>
      </c>
      <c r="B133" s="90">
        <f>IF(Match!B41="","",Match!B41)</f>
        <v>46292</v>
      </c>
      <c r="C133" s="455">
        <f t="shared" si="12"/>
        <v>1</v>
      </c>
      <c r="G133" s="144" t="str">
        <f t="shared" si="9"/>
        <v>Andorra</v>
      </c>
      <c r="H133" s="145" t="str">
        <f t="shared" si="10"/>
        <v>6/4</v>
      </c>
      <c r="I133" s="173">
        <f t="shared" si="11"/>
        <v>2.5</v>
      </c>
      <c r="J133" s="145">
        <f>INDEX(Picks!W:W,MATCH(G133,Picks!U:U,0))</f>
        <v>0</v>
      </c>
      <c r="K133" s="145">
        <f>IF(INDEX(Match!P:P,MATCH(A133,Match!A:A,0))="OFF",0,1)</f>
        <v>1</v>
      </c>
    </row>
    <row r="134" spans="1:11">
      <c r="A134" s="4">
        <v>41</v>
      </c>
      <c r="B134" s="90">
        <f>IF(Match!B42="","",Match!B42)</f>
        <v>46292</v>
      </c>
      <c r="C134" s="455">
        <f t="shared" si="12"/>
        <v>1</v>
      </c>
      <c r="G134" s="144" t="str">
        <f t="shared" ref="G134:G139" si="13">IF(E42="","",N42)</f>
        <v>Ireland</v>
      </c>
      <c r="H134" s="145" t="str">
        <f t="shared" ref="H134:H139" si="14">IF(E42="","",P42)</f>
        <v>13/8</v>
      </c>
      <c r="I134" s="173">
        <f t="shared" ref="I134:I139" si="15">IF(E42="","",S42)</f>
        <v>2.625</v>
      </c>
      <c r="J134" s="145">
        <f>INDEX(Picks!W:W,MATCH(G134,Picks!U:U,0))</f>
        <v>1</v>
      </c>
      <c r="K134" s="145">
        <f>IF(INDEX(Match!P:P,MATCH(A134,Match!A:A,0))="OFF",0,1)</f>
        <v>1</v>
      </c>
    </row>
    <row r="135" spans="1:11">
      <c r="A135" s="4">
        <v>42</v>
      </c>
      <c r="B135" s="90">
        <f>IF(Match!B43="","",Match!B43)</f>
        <v>46292</v>
      </c>
      <c r="C135" s="455">
        <f t="shared" si="12"/>
        <v>1</v>
      </c>
      <c r="G135" s="144" t="str">
        <f t="shared" si="13"/>
        <v>Azerbaijan</v>
      </c>
      <c r="H135" s="145" t="str">
        <f t="shared" si="14"/>
        <v>2/1</v>
      </c>
      <c r="I135" s="173">
        <f t="shared" si="15"/>
        <v>3</v>
      </c>
      <c r="J135" s="145">
        <f>INDEX(Picks!W:W,MATCH(G135,Picks!U:U,0))</f>
        <v>0</v>
      </c>
      <c r="K135" s="145">
        <f>IF(INDEX(Match!P:P,MATCH(A135,Match!A:A,0))="OFF",0,1)</f>
        <v>1</v>
      </c>
    </row>
    <row r="136" spans="1:11">
      <c r="A136" s="4">
        <v>43</v>
      </c>
      <c r="B136" s="90">
        <f>IF(Match!B44="","",Match!B44)</f>
        <v>46292</v>
      </c>
      <c r="C136" s="455">
        <f t="shared" si="12"/>
        <v>1</v>
      </c>
      <c r="G136" s="144" t="str">
        <f t="shared" si="13"/>
        <v>Portugal</v>
      </c>
      <c r="H136" s="145" t="str">
        <f t="shared" si="14"/>
        <v>6/4</v>
      </c>
      <c r="I136" s="173">
        <f t="shared" si="15"/>
        <v>2.5</v>
      </c>
      <c r="J136" s="145">
        <f>INDEX(Picks!W:W,MATCH(G136,Picks!U:U,0))</f>
        <v>1</v>
      </c>
      <c r="K136" s="145">
        <f>IF(INDEX(Match!P:P,MATCH(A136,Match!A:A,0))="OFF",0,1)</f>
        <v>1</v>
      </c>
    </row>
    <row r="137" spans="1:11">
      <c r="A137" s="4">
        <v>44</v>
      </c>
      <c r="B137" s="90">
        <f>IF(Match!B45="","",Match!B45)</f>
        <v>46292</v>
      </c>
      <c r="C137" s="455">
        <f t="shared" si="12"/>
        <v>1</v>
      </c>
      <c r="G137" s="144" t="str">
        <f t="shared" si="13"/>
        <v>Netherlands</v>
      </c>
      <c r="H137" s="145" t="str">
        <f t="shared" si="14"/>
        <v>8/13</v>
      </c>
      <c r="I137" s="173">
        <f t="shared" si="15"/>
        <v>1.6153846153846154</v>
      </c>
      <c r="J137" s="145">
        <f>INDEX(Picks!W:W,MATCH(G137,Picks!U:U,0))</f>
        <v>1</v>
      </c>
      <c r="K137" s="145">
        <f>IF(INDEX(Match!P:P,MATCH(A137,Match!A:A,0))="OFF",0,1)</f>
        <v>1</v>
      </c>
    </row>
    <row r="138" spans="1:11">
      <c r="A138" s="4">
        <v>45</v>
      </c>
      <c r="B138" s="90" t="str">
        <f>IF(Match!B46="","",Match!B46)</f>
        <v/>
      </c>
      <c r="C138" s="455" t="str">
        <f t="shared" si="12"/>
        <v/>
      </c>
      <c r="G138" s="144" t="str">
        <f t="shared" si="13"/>
        <v/>
      </c>
      <c r="H138" s="145" t="str">
        <f t="shared" si="14"/>
        <v/>
      </c>
      <c r="I138" s="173" t="str">
        <f t="shared" si="15"/>
        <v/>
      </c>
      <c r="J138" s="145" t="e">
        <f>INDEX(Picks!W:W,MATCH(G138,Picks!U:U,0))</f>
        <v>#N/A</v>
      </c>
      <c r="K138" s="145">
        <f>IF(INDEX(Match!P:P,MATCH(A138,Match!A:A,0))="OFF",0,1)</f>
        <v>1</v>
      </c>
    </row>
    <row r="139" spans="1:11">
      <c r="A139" s="4">
        <v>46</v>
      </c>
      <c r="B139" s="90" t="str">
        <f>IF(Match!B47="","",Match!B47)</f>
        <v/>
      </c>
      <c r="C139" s="455" t="str">
        <f t="shared" si="12"/>
        <v/>
      </c>
      <c r="G139" s="144" t="str">
        <f t="shared" si="13"/>
        <v/>
      </c>
      <c r="H139" s="145" t="str">
        <f t="shared" si="14"/>
        <v/>
      </c>
      <c r="I139" s="173" t="str">
        <f t="shared" si="15"/>
        <v/>
      </c>
      <c r="J139" s="145" t="e">
        <f>INDEX(Picks!W:W,MATCH(G139,Picks!U:U,0))</f>
        <v>#N/A</v>
      </c>
      <c r="K139" s="145">
        <f>IF(INDEX(Match!P:P,MATCH(A139,Match!A:A,0))="OFF",0,1)</f>
        <v>1</v>
      </c>
    </row>
  </sheetData>
  <phoneticPr fontId="0" type="noConversion"/>
  <printOptions gridLines="1"/>
  <pageMargins left="0.74803149606299213" right="0.74803149606299213" top="1.3779527559055118" bottom="0.98425196850393704" header="0.51181102362204722" footer="0.51181102362204722"/>
  <pageSetup paperSize="9" orientation="portrait" r:id="rId1"/>
  <headerFooter alignWithMargins="0">
    <oddHeader>&amp;L&amp;G&amp;C&amp;16&amp;K7030A0
Current odds</oddHeader>
  </headerFooter>
  <legacyDrawingHF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5">
    <tabColor rgb="FF7030A0"/>
  </sheetPr>
  <dimension ref="A1:L30"/>
  <sheetViews>
    <sheetView workbookViewId="0">
      <selection activeCell="C20" sqref="C20"/>
    </sheetView>
  </sheetViews>
  <sheetFormatPr defaultRowHeight="12.75"/>
  <cols>
    <col min="1" max="1" width="18.73046875" customWidth="1"/>
    <col min="4" max="4" width="11.59765625" customWidth="1"/>
    <col min="5" max="5" width="11.86328125" customWidth="1"/>
    <col min="9" max="9" width="21.86328125" customWidth="1"/>
    <col min="10" max="11" width="13.73046875" style="45" customWidth="1"/>
    <col min="12" max="12" width="11.73046875" customWidth="1"/>
  </cols>
  <sheetData>
    <row r="1" spans="1:12" ht="33" customHeight="1">
      <c r="A1" s="343"/>
      <c r="B1" s="349" t="s">
        <v>124</v>
      </c>
      <c r="C1" s="349" t="s">
        <v>335</v>
      </c>
      <c r="D1" s="349" t="s">
        <v>341</v>
      </c>
      <c r="E1" s="349" t="s">
        <v>405</v>
      </c>
      <c r="F1" s="349" t="s">
        <v>127</v>
      </c>
      <c r="G1" s="349" t="s">
        <v>336</v>
      </c>
      <c r="I1" s="343"/>
      <c r="J1" s="349" t="s">
        <v>341</v>
      </c>
      <c r="K1" s="349" t="s">
        <v>405</v>
      </c>
      <c r="L1" s="349" t="s">
        <v>342</v>
      </c>
    </row>
    <row r="2" spans="1:12" ht="18" customHeight="1">
      <c r="A2" s="344" t="s">
        <v>279</v>
      </c>
      <c r="B2" s="345" t="e">
        <f>IF(A2="","",INDEX(Table!I:I,MATCH(A2,Table!$F:$F,0)))</f>
        <v>#N/A</v>
      </c>
      <c r="C2" s="346" t="e">
        <f>IF(A2="","",INDEX(Table!J:J,MATCH(A2,Table!$F:$F,0)))</f>
        <v>#N/A</v>
      </c>
      <c r="D2" s="352" t="str">
        <f>IF(A2="","",IF(ISERROR(INDEX(Results!AI:AI,MATCH(A2,Results!$V:$V,0))),"TBC",INDEX(Results!AI:AI,MATCH(A2,Results!$V:$V,0))))</f>
        <v>TBC</v>
      </c>
      <c r="E2" s="345" t="e">
        <f>IF(A2="","",INDEX(Table!K:K,MATCH(A2,Table!$F:$F,0)))</f>
        <v>#N/A</v>
      </c>
      <c r="F2" s="346" t="e">
        <f>IF(A2="","",INDEX(Table!L:L,MATCH(A2,Table!$F:$F,0)))</f>
        <v>#N/A</v>
      </c>
      <c r="G2" s="346" t="e">
        <f>IF(A2="","",INDEX(Picks!AJ:AJ,MATCH(A2,Picks!$AG:$AG,0)))</f>
        <v>#N/A</v>
      </c>
      <c r="I2" s="344" t="s">
        <v>290</v>
      </c>
      <c r="J2" s="352">
        <f>IF(I2="","",IF(ISERROR(INDEX(Results!AI:AI,MATCH(I2,Results!$V:$V,0))),"TBC",INDEX(Results!AI:AI,MATCH(I2,Results!$V:$V,0))))</f>
        <v>58.74799999999999</v>
      </c>
      <c r="K2" s="352">
        <f>IF(I2="","",IF(ISERROR(INDEX(Results!T:T,MATCH(I2,Results!$V:$V,0))),"TBC",INDEX(Results!T:T,MATCH(I2,Results!$V:$V,0))))</f>
        <v>-7</v>
      </c>
      <c r="L2" s="345">
        <f>IF(I2="","",INDEX(Table!I:I,MATCH(I2,Table!$F:$F,0)))</f>
        <v>-36.518181818181816</v>
      </c>
    </row>
    <row r="3" spans="1:12" ht="18" customHeight="1">
      <c r="A3" s="344" t="s">
        <v>293</v>
      </c>
      <c r="B3" s="345" t="e">
        <f>IF(A3="","",INDEX(Table!I:I,MATCH(A3,Table!$F:$F,0)))</f>
        <v>#N/A</v>
      </c>
      <c r="C3" s="346" t="e">
        <f>IF(A3="","",INDEX(Table!J:J,MATCH(A3,Table!$F:$F,0)))</f>
        <v>#N/A</v>
      </c>
      <c r="D3" s="352" t="str">
        <f>IF(A3="","",IF(ISERROR(INDEX(Results!AI:AI,MATCH(A3,Results!$V:$V,0))),"TBC",INDEX(Results!AI:AI,MATCH(A3,Results!$V:$V,0))))</f>
        <v>TBC</v>
      </c>
      <c r="E3" s="345" t="e">
        <f>IF(A3="","",INDEX(Table!K:K,MATCH(A3,Table!$F:$F,0)))</f>
        <v>#N/A</v>
      </c>
      <c r="F3" s="346" t="e">
        <f>IF(A3="","",INDEX(Table!L:L,MATCH(A3,Table!$F:$F,0)))</f>
        <v>#N/A</v>
      </c>
      <c r="G3" s="346" t="e">
        <f>IF(A3="","",INDEX(Picks!AJ:AJ,MATCH(A3,Picks!$AG:$AG,0)))</f>
        <v>#N/A</v>
      </c>
      <c r="I3" s="344" t="s">
        <v>293</v>
      </c>
      <c r="J3" s="352" t="str">
        <f>IF(I3="","",IF(ISERROR(INDEX(Results!AI:AI,MATCH(I3,Results!$V:$V,0))),"TBC",INDEX(Results!AI:AI,MATCH(I3,Results!$V:$V,0))))</f>
        <v>TBC</v>
      </c>
      <c r="K3" s="352" t="str">
        <f>IF(I3="","",IF(ISERROR(INDEX(Results!T:T,MATCH(I3,Results!$V:$V,0))),"TBC",INDEX(Results!T:T,MATCH(I3,Results!$V:$V,0))))</f>
        <v>TBC</v>
      </c>
      <c r="L3" s="345" t="e">
        <f>IF(I3="","",INDEX(Table!I:I,MATCH(I3,Table!$F:$F,0)))</f>
        <v>#N/A</v>
      </c>
    </row>
    <row r="4" spans="1:12" ht="18" customHeight="1">
      <c r="A4" s="344" t="s">
        <v>270</v>
      </c>
      <c r="B4" s="345" t="e">
        <f>IF(A4="","",INDEX(Table!I:I,MATCH(A4,Table!$F:$F,0)))</f>
        <v>#N/A</v>
      </c>
      <c r="C4" s="346" t="e">
        <f>IF(A4="","",INDEX(Table!J:J,MATCH(A4,Table!$F:$F,0)))</f>
        <v>#N/A</v>
      </c>
      <c r="D4" s="352" t="str">
        <f>IF(A4="","",IF(ISERROR(INDEX(Results!AI:AI,MATCH(A4,Results!$V:$V,0))),"TBC",INDEX(Results!AI:AI,MATCH(A4,Results!$V:$V,0))))</f>
        <v>TBC</v>
      </c>
      <c r="E4" s="345" t="e">
        <f>IF(A4="","",INDEX(Table!K:K,MATCH(A4,Table!$F:$F,0)))</f>
        <v>#N/A</v>
      </c>
      <c r="F4" s="346" t="e">
        <f>IF(A4="","",INDEX(Table!L:L,MATCH(A4,Table!$F:$F,0)))</f>
        <v>#N/A</v>
      </c>
      <c r="G4" s="346" t="e">
        <f>IF(A4="","",INDEX(Picks!AJ:AJ,MATCH(A4,Picks!$AG:$AG,0)))</f>
        <v>#N/A</v>
      </c>
      <c r="I4" s="344" t="s">
        <v>278</v>
      </c>
      <c r="J4" s="352" t="str">
        <f>IF(I4="","",IF(ISERROR(INDEX(Results!AI:AI,MATCH(I4,Results!$V:$V,0))),"TBC",INDEX(Results!AI:AI,MATCH(I4,Results!$V:$V,0))))</f>
        <v>TBC</v>
      </c>
      <c r="K4" s="352" t="str">
        <f>IF(I4="","",IF(ISERROR(INDEX(Results!T:T,MATCH(I4,Results!$V:$V,0))),"TBC",INDEX(Results!T:T,MATCH(I4,Results!$V:$V,0))))</f>
        <v>TBC</v>
      </c>
      <c r="L4" s="345" t="e">
        <f>IF(I4="","",INDEX(Table!I:I,MATCH(I4,Table!$F:$F,0)))</f>
        <v>#N/A</v>
      </c>
    </row>
    <row r="5" spans="1:12" ht="18" customHeight="1">
      <c r="A5" s="344" t="s">
        <v>290</v>
      </c>
      <c r="B5" s="345">
        <f>IF(A5="","",INDEX(Table!I:I,MATCH(A5,Table!$F:$F,0)))</f>
        <v>-36.518181818181816</v>
      </c>
      <c r="C5" s="346">
        <f>IF(A5="","",INDEX(Table!J:J,MATCH(A5,Table!$F:$F,0)))</f>
        <v>3</v>
      </c>
      <c r="D5" s="352">
        <f>IF(A5="","",IF(ISERROR(INDEX(Results!AI:AI,MATCH(A5,Results!$V:$V,0))),"TBC",INDEX(Results!AI:AI,MATCH(A5,Results!$V:$V,0))))</f>
        <v>58.74799999999999</v>
      </c>
      <c r="E5" s="345">
        <f>IF(A5="","",INDEX(Table!K:K,MATCH(A5,Table!$F:$F,0)))</f>
        <v>-7</v>
      </c>
      <c r="F5" s="346">
        <f>IF(A5="","",INDEX(Table!L:L,MATCH(A5,Table!$F:$F,0)))</f>
        <v>0</v>
      </c>
      <c r="G5" s="346">
        <f>IF(A5="","",INDEX(Picks!AJ:AJ,MATCH(A5,Picks!$AG:$AG,0)))</f>
        <v>40</v>
      </c>
      <c r="I5" s="344" t="s">
        <v>270</v>
      </c>
      <c r="J5" s="352" t="str">
        <f>IF(I5="","",IF(ISERROR(INDEX(Results!AI:AI,MATCH(I5,Results!$V:$V,0))),"TBC",INDEX(Results!AI:AI,MATCH(I5,Results!$V:$V,0))))</f>
        <v>TBC</v>
      </c>
      <c r="K5" s="352" t="str">
        <f>IF(I5="","",IF(ISERROR(INDEX(Results!T:T,MATCH(I5,Results!$V:$V,0))),"TBC",INDEX(Results!T:T,MATCH(I5,Results!$V:$V,0))))</f>
        <v>TBC</v>
      </c>
      <c r="L5" s="345" t="e">
        <f>IF(I5="","",INDEX(Table!I:I,MATCH(I5,Table!$F:$F,0)))</f>
        <v>#N/A</v>
      </c>
    </row>
    <row r="6" spans="1:12" ht="18" customHeight="1">
      <c r="A6" s="344" t="s">
        <v>278</v>
      </c>
      <c r="B6" s="345" t="e">
        <f>IF(A6="","",INDEX(Table!I:I,MATCH(A6,Table!$F:$F,0)))</f>
        <v>#N/A</v>
      </c>
      <c r="C6" s="346" t="e">
        <f>IF(A6="","",INDEX(Table!J:J,MATCH(A6,Table!$F:$F,0)))</f>
        <v>#N/A</v>
      </c>
      <c r="D6" s="352" t="str">
        <f>IF(A6="","",IF(ISERROR(INDEX(Results!AI:AI,MATCH(A6,Results!$V:$V,0))),"TBC",INDEX(Results!AI:AI,MATCH(A6,Results!$V:$V,0))))</f>
        <v>TBC</v>
      </c>
      <c r="E6" s="345" t="e">
        <f>IF(A6="","",INDEX(Table!K:K,MATCH(A6,Table!$F:$F,0)))</f>
        <v>#N/A</v>
      </c>
      <c r="F6" s="346" t="e">
        <f>IF(A6="","",INDEX(Table!L:L,MATCH(A6,Table!$F:$F,0)))</f>
        <v>#N/A</v>
      </c>
      <c r="G6" s="346" t="e">
        <f>IF(A6="","",INDEX(Picks!AJ:AJ,MATCH(A6,Picks!$AG:$AG,0)))</f>
        <v>#N/A</v>
      </c>
      <c r="I6" s="344" t="s">
        <v>279</v>
      </c>
      <c r="J6" s="352" t="str">
        <f>IF(I6="","",IF(ISERROR(INDEX(Results!AI:AI,MATCH(I6,Results!$V:$V,0))),"TBC",INDEX(Results!AI:AI,MATCH(I6,Results!$V:$V,0))))</f>
        <v>TBC</v>
      </c>
      <c r="K6" s="352" t="str">
        <f>IF(I6="","",IF(ISERROR(INDEX(Results!T:T,MATCH(I6,Results!$V:$V,0))),"TBC",INDEX(Results!T:T,MATCH(I6,Results!$V:$V,0))))</f>
        <v>TBC</v>
      </c>
      <c r="L6" s="345" t="e">
        <f>IF(I6="","",INDEX(Table!I:I,MATCH(I6,Table!$F:$F,0)))</f>
        <v>#N/A</v>
      </c>
    </row>
    <row r="7" spans="1:12" ht="18" customHeight="1">
      <c r="A7" s="203"/>
      <c r="B7" s="186"/>
      <c r="C7" s="272" t="str">
        <f>IF(A7="","",INDEX(Table!J:J,MATCH(A7,Table!$F:$F,0)))</f>
        <v/>
      </c>
      <c r="D7" s="272"/>
    </row>
    <row r="8" spans="1:12" ht="18" customHeight="1">
      <c r="A8" s="203"/>
      <c r="B8" s="186"/>
      <c r="C8" s="272" t="str">
        <f>IF(A8="","",INDEX(Table!J:J,MATCH(A8,Table!$F:$F,0)))</f>
        <v/>
      </c>
      <c r="D8" s="272"/>
    </row>
    <row r="9" spans="1:12" ht="18" customHeight="1">
      <c r="A9" s="203"/>
      <c r="B9" s="186"/>
      <c r="C9" s="272" t="str">
        <f>IF(A9="","",INDEX(Table!J:J,MATCH(A9,Table!$F:$F,0)))</f>
        <v/>
      </c>
      <c r="D9" s="272"/>
    </row>
    <row r="10" spans="1:12" ht="18" customHeight="1">
      <c r="A10" s="203"/>
      <c r="B10" s="186"/>
      <c r="C10" s="272" t="str">
        <f>IF(A10="","",INDEX(Table!J:J,MATCH(A10,Table!$F:$F,0)))</f>
        <v/>
      </c>
      <c r="D10" s="272"/>
    </row>
    <row r="11" spans="1:12" ht="18" customHeight="1">
      <c r="A11" s="203"/>
      <c r="B11" s="186"/>
      <c r="C11" s="272" t="str">
        <f>IF(A11="","",INDEX(Table!J:J,MATCH(A11,Table!$F:$F,0)))</f>
        <v/>
      </c>
      <c r="D11" s="272"/>
    </row>
    <row r="12" spans="1:12" ht="18" customHeight="1">
      <c r="A12" s="203"/>
      <c r="B12" s="186"/>
      <c r="C12" s="272" t="str">
        <f>IF(A12="","",INDEX(Table!J:J,MATCH(A12,Table!$F:$F,0)))</f>
        <v/>
      </c>
      <c r="D12" s="272"/>
    </row>
    <row r="13" spans="1:12" ht="18" customHeight="1">
      <c r="A13" s="203"/>
      <c r="B13" s="186"/>
      <c r="C13" s="272" t="str">
        <f>IF(A13="","",INDEX(Table!J:J,MATCH(A13,Table!$F:$F,0)))</f>
        <v/>
      </c>
      <c r="D13" s="272"/>
    </row>
    <row r="14" spans="1:12" ht="18" customHeight="1">
      <c r="A14" s="203"/>
      <c r="B14" s="186"/>
      <c r="C14" s="272" t="str">
        <f>IF(A14="","",INDEX(Table!J:J,MATCH(A14,Table!$F:$F,0)))</f>
        <v/>
      </c>
      <c r="D14" s="272"/>
    </row>
    <row r="15" spans="1:12" ht="18" customHeight="1">
      <c r="A15" s="203"/>
      <c r="B15" s="186"/>
      <c r="C15" s="272" t="str">
        <f>IF(A15="","",INDEX(Table!J:J,MATCH(A15,Table!$F:$F,0)))</f>
        <v/>
      </c>
      <c r="D15" s="272"/>
    </row>
    <row r="16" spans="1:12" ht="18" customHeight="1">
      <c r="A16" s="203"/>
      <c r="B16" s="186"/>
      <c r="C16" s="272" t="str">
        <f>IF(A16="","",INDEX(Table!J:J,MATCH(A16,Table!$F:$F,0)))</f>
        <v/>
      </c>
      <c r="D16" s="272"/>
    </row>
    <row r="17" spans="1:4" ht="18" customHeight="1">
      <c r="A17" s="203"/>
      <c r="B17" s="186"/>
      <c r="C17" s="272" t="str">
        <f>IF(A17="","",INDEX(Table!J:J,MATCH(A17,Table!$F:$F,0)))</f>
        <v/>
      </c>
      <c r="D17" s="272"/>
    </row>
    <row r="18" spans="1:4" ht="18" customHeight="1">
      <c r="A18" s="203"/>
      <c r="B18" s="186"/>
      <c r="C18" s="272" t="str">
        <f>IF(A18="","",INDEX(Table!J:J,MATCH(A18,Table!$F:$F,0)))</f>
        <v/>
      </c>
      <c r="D18" s="272"/>
    </row>
    <row r="19" spans="1:4" ht="18" customHeight="1">
      <c r="A19" s="203"/>
      <c r="B19" s="186"/>
      <c r="C19" s="272" t="str">
        <f>IF(A19="","",INDEX(Table!J:J,MATCH(A19,Table!$F:$F,0)))</f>
        <v/>
      </c>
      <c r="D19" s="272"/>
    </row>
    <row r="20" spans="1:4" ht="18" customHeight="1">
      <c r="A20" s="203"/>
      <c r="B20" s="186"/>
      <c r="C20" s="272" t="str">
        <f>IF(A20="","",INDEX(Table!J:J,MATCH(A20,Table!$F:$F,0)))</f>
        <v/>
      </c>
      <c r="D20" s="272"/>
    </row>
    <row r="21" spans="1:4" ht="18" customHeight="1">
      <c r="A21" s="203"/>
      <c r="B21" s="186"/>
      <c r="C21" s="272" t="str">
        <f>IF(A21="","",INDEX(Table!J:J,MATCH(A21,Table!$F:$F,0)))</f>
        <v/>
      </c>
      <c r="D21" s="272"/>
    </row>
    <row r="22" spans="1:4" ht="18" customHeight="1">
      <c r="A22" s="203"/>
      <c r="B22" s="186"/>
      <c r="C22" s="272" t="str">
        <f>IF(A22="","",INDEX(Table!J:J,MATCH(A22,Table!$F:$F,0)))</f>
        <v/>
      </c>
      <c r="D22" s="272"/>
    </row>
    <row r="23" spans="1:4" ht="18" customHeight="1">
      <c r="A23" s="203"/>
      <c r="B23" s="186"/>
      <c r="C23" s="272" t="str">
        <f>IF(A23="","",INDEX(Table!J:J,MATCH(A23,Table!$F:$F,0)))</f>
        <v/>
      </c>
      <c r="D23" s="272"/>
    </row>
    <row r="24" spans="1:4" ht="18" customHeight="1">
      <c r="A24" s="203"/>
      <c r="B24" s="186"/>
      <c r="C24" s="272" t="str">
        <f>IF(A24="","",INDEX(Table!J:J,MATCH(A24,Table!$F:$F,0)))</f>
        <v/>
      </c>
      <c r="D24" s="272"/>
    </row>
    <row r="25" spans="1:4" ht="18" customHeight="1">
      <c r="A25" s="203"/>
      <c r="B25" s="186"/>
      <c r="C25" s="272" t="str">
        <f>IF(A25="","",INDEX(Table!J:J,MATCH(A25,Table!$F:$F,0)))</f>
        <v/>
      </c>
      <c r="D25" s="272"/>
    </row>
    <row r="26" spans="1:4" ht="18" customHeight="1">
      <c r="A26" s="203"/>
      <c r="B26" s="186"/>
      <c r="C26" s="272" t="str">
        <f>IF(A26="","",INDEX(Table!J:J,MATCH(A26,Table!$F:$F,0)))</f>
        <v/>
      </c>
      <c r="D26" s="272"/>
    </row>
    <row r="27" spans="1:4" ht="18" customHeight="1">
      <c r="A27" s="203"/>
      <c r="B27" s="186"/>
      <c r="C27" s="272" t="str">
        <f>IF(A27="","",INDEX(Table!J:J,MATCH(A27,Table!$F:$F,0)))</f>
        <v/>
      </c>
      <c r="D27" s="272"/>
    </row>
    <row r="28" spans="1:4" ht="18" customHeight="1">
      <c r="A28" s="203"/>
      <c r="B28" s="186"/>
      <c r="C28" s="272" t="str">
        <f>IF(A28="","",INDEX(Table!J:J,MATCH(A28,Table!$F:$F,0)))</f>
        <v/>
      </c>
      <c r="D28" s="272"/>
    </row>
    <row r="29" spans="1:4" ht="18" customHeight="1">
      <c r="A29" s="203"/>
      <c r="B29" s="186"/>
      <c r="C29" s="272" t="str">
        <f>IF(A29="","",INDEX(Table!J:J,MATCH(A29,Table!$F:$F,0)))</f>
        <v/>
      </c>
      <c r="D29" s="272"/>
    </row>
    <row r="30" spans="1:4" ht="18" customHeight="1">
      <c r="A30" s="203"/>
      <c r="B30" s="186"/>
      <c r="C30" s="272" t="str">
        <f>IF(A30="","",INDEX(Table!J:J,MATCH(A30,Table!$F:$F,0)))</f>
        <v/>
      </c>
      <c r="D30" s="272"/>
    </row>
  </sheetData>
  <sortState xmlns:xlrd2="http://schemas.microsoft.com/office/spreadsheetml/2017/richdata2" ref="A2:L6">
    <sortCondition descending="1" ref="B2:B6"/>
  </sortState>
  <pageMargins left="0.7" right="0.7" top="0.75" bottom="0.75" header="0.3" footer="0.3"/>
  <pageSetup paperSize="9" orientation="portrait" horizontalDpi="360" verticalDpi="360" r:id="rId1"/>
  <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1"/>
  <dimension ref="A1:B27"/>
  <sheetViews>
    <sheetView workbookViewId="0">
      <selection activeCell="B23" sqref="B23"/>
    </sheetView>
  </sheetViews>
  <sheetFormatPr defaultRowHeight="12.75"/>
  <cols>
    <col min="1" max="1" width="45" customWidth="1"/>
    <col min="2" max="2" width="9.86328125" bestFit="1" customWidth="1"/>
  </cols>
  <sheetData>
    <row r="1" spans="1:2" ht="17.649999999999999">
      <c r="A1" s="162" t="s">
        <v>178</v>
      </c>
      <c r="B1" s="159">
        <v>50</v>
      </c>
    </row>
    <row r="2" spans="1:2" ht="17.25">
      <c r="A2" s="92" t="s">
        <v>143</v>
      </c>
      <c r="B2" s="161">
        <v>20</v>
      </c>
    </row>
    <row r="3" spans="1:2" ht="17.649999999999999">
      <c r="A3" s="162" t="s">
        <v>179</v>
      </c>
      <c r="B3" s="160">
        <f>B1*B2</f>
        <v>1000</v>
      </c>
    </row>
    <row r="4" spans="1:2">
      <c r="A4" s="92"/>
      <c r="B4" s="93"/>
    </row>
    <row r="5" spans="1:2">
      <c r="A5" s="92" t="s">
        <v>144</v>
      </c>
      <c r="B5" s="93">
        <v>20</v>
      </c>
    </row>
    <row r="6" spans="1:2">
      <c r="A6" s="92" t="s">
        <v>145</v>
      </c>
      <c r="B6" s="93">
        <v>1</v>
      </c>
    </row>
    <row r="7" spans="1:2">
      <c r="A7" s="92" t="s">
        <v>146</v>
      </c>
      <c r="B7" s="93">
        <v>3</v>
      </c>
    </row>
    <row r="8" spans="1:2" ht="13.15">
      <c r="A8" s="100" t="s">
        <v>147</v>
      </c>
      <c r="B8" s="101">
        <f>(B7*5*B5)+(B6*10*B5)</f>
        <v>500</v>
      </c>
    </row>
    <row r="9" spans="1:2">
      <c r="A9" s="92"/>
      <c r="B9" s="93"/>
    </row>
    <row r="10" spans="1:2">
      <c r="A10" s="92" t="s">
        <v>148</v>
      </c>
      <c r="B10" s="95">
        <v>25</v>
      </c>
    </row>
    <row r="11" spans="1:2">
      <c r="A11" s="92" t="s">
        <v>149</v>
      </c>
      <c r="B11" s="95">
        <v>15</v>
      </c>
    </row>
    <row r="12" spans="1:2">
      <c r="A12" s="99" t="s">
        <v>468</v>
      </c>
      <c r="B12" s="95">
        <v>10</v>
      </c>
    </row>
    <row r="13" spans="1:2" ht="13.15">
      <c r="A13" s="100" t="s">
        <v>150</v>
      </c>
      <c r="B13" s="102">
        <f>SUM(B10:B12)</f>
        <v>50</v>
      </c>
    </row>
    <row r="14" spans="1:2">
      <c r="A14" s="92"/>
      <c r="B14" s="93"/>
    </row>
    <row r="15" spans="1:2">
      <c r="A15" s="99" t="s">
        <v>469</v>
      </c>
      <c r="B15" s="331">
        <f>Prizes!I2</f>
        <v>225</v>
      </c>
    </row>
    <row r="16" spans="1:2">
      <c r="A16" s="99" t="s">
        <v>471</v>
      </c>
      <c r="B16" s="331">
        <f>Prizes!I3</f>
        <v>157.5</v>
      </c>
    </row>
    <row r="17" spans="1:2">
      <c r="A17" s="99" t="s">
        <v>472</v>
      </c>
      <c r="B17" s="331">
        <f>Prizes!I4</f>
        <v>67.5</v>
      </c>
    </row>
    <row r="18" spans="1:2">
      <c r="A18" s="99" t="s">
        <v>473</v>
      </c>
      <c r="B18" s="331">
        <f>Prizes!I5</f>
        <v>0</v>
      </c>
    </row>
    <row r="19" spans="1:2">
      <c r="A19" s="99"/>
      <c r="B19" s="94"/>
    </row>
    <row r="20" spans="1:2" ht="13.15">
      <c r="A20" s="100" t="s">
        <v>470</v>
      </c>
      <c r="B20" s="101">
        <f>SUM(B15:B19)</f>
        <v>450</v>
      </c>
    </row>
    <row r="21" spans="1:2" ht="13.15">
      <c r="A21" s="100"/>
      <c r="B21" s="101"/>
    </row>
    <row r="22" spans="1:2" ht="13.15">
      <c r="A22" s="100" t="s">
        <v>507</v>
      </c>
      <c r="B22" s="589"/>
    </row>
    <row r="23" spans="1:2">
      <c r="A23" s="174" t="s">
        <v>218</v>
      </c>
      <c r="B23" s="175">
        <v>20</v>
      </c>
    </row>
    <row r="24" spans="1:2" ht="13.15">
      <c r="A24" s="100"/>
      <c r="B24" s="101"/>
    </row>
    <row r="25" spans="1:2" ht="13.15">
      <c r="A25" s="100" t="s">
        <v>474</v>
      </c>
      <c r="B25" s="101">
        <f>B20-B23</f>
        <v>430</v>
      </c>
    </row>
    <row r="26" spans="1:2">
      <c r="A26" s="92"/>
      <c r="B26" s="93"/>
    </row>
    <row r="27" spans="1:2">
      <c r="A27" s="96" t="s">
        <v>151</v>
      </c>
      <c r="B27" s="97">
        <f>B3-B8-B13-B20-B23</f>
        <v>-20</v>
      </c>
    </row>
  </sheetData>
  <hyperlinks>
    <hyperlink ref="A1" location="Menu!A1" display="No of Entrants:" xr:uid="{00000000-0004-0000-1000-000000000000}"/>
  </hyperlinks>
  <pageMargins left="0.7" right="0.7" top="0.75" bottom="0.75" header="0.3" footer="0.3"/>
  <pageSetup paperSize="9" orientation="portrait" r:id="rId1"/>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6"/>
  <dimension ref="A1:M105"/>
  <sheetViews>
    <sheetView workbookViewId="0">
      <selection activeCell="M2" sqref="M2"/>
    </sheetView>
  </sheetViews>
  <sheetFormatPr defaultRowHeight="12.75"/>
  <cols>
    <col min="3" max="3" width="9.1328125" style="4" customWidth="1"/>
    <col min="4" max="4" width="16.59765625" customWidth="1"/>
    <col min="5" max="5" width="10.59765625" customWidth="1"/>
    <col min="7" max="7" width="4.265625" customWidth="1"/>
    <col min="8" max="8" width="10.73046875" customWidth="1"/>
    <col min="9" max="9" width="11.1328125" customWidth="1"/>
    <col min="13" max="13" width="13.265625" customWidth="1"/>
  </cols>
  <sheetData>
    <row r="1" spans="1:13">
      <c r="A1" s="337" t="s">
        <v>331</v>
      </c>
      <c r="B1" s="4" t="s">
        <v>219</v>
      </c>
      <c r="C1" s="4" t="s">
        <v>242</v>
      </c>
      <c r="D1" s="45" t="s">
        <v>243</v>
      </c>
      <c r="E1" s="45" t="s">
        <v>244</v>
      </c>
      <c r="F1" s="45" t="s">
        <v>245</v>
      </c>
      <c r="G1" s="45"/>
      <c r="H1" s="328" t="s">
        <v>138</v>
      </c>
      <c r="I1" s="329">
        <f>M2-550</f>
        <v>450</v>
      </c>
      <c r="K1" t="s">
        <v>219</v>
      </c>
      <c r="L1" t="s">
        <v>246</v>
      </c>
      <c r="M1" s="327" t="s">
        <v>265</v>
      </c>
    </row>
    <row r="2" spans="1:13">
      <c r="A2" t="str">
        <f>CONCATENATE(B2,C2)</f>
        <v>A1</v>
      </c>
      <c r="B2" s="8" t="s">
        <v>221</v>
      </c>
      <c r="C2" s="4">
        <v>1</v>
      </c>
      <c r="D2">
        <v>45</v>
      </c>
      <c r="E2">
        <v>35</v>
      </c>
      <c r="F2" s="219">
        <f t="shared" ref="F2:F7" si="0">PotA*E2/100</f>
        <v>78.75</v>
      </c>
      <c r="H2" s="103" t="s">
        <v>247</v>
      </c>
      <c r="I2" s="330">
        <f>pot*0.5</f>
        <v>225</v>
      </c>
      <c r="K2" s="14" t="s">
        <v>221</v>
      </c>
      <c r="L2">
        <v>50</v>
      </c>
      <c r="M2" s="330">
        <f>(entrants-nonentrants)*20</f>
        <v>1000</v>
      </c>
    </row>
    <row r="3" spans="1:13">
      <c r="A3" t="str">
        <f t="shared" ref="A3:A63" si="1">CONCATENATE(B3,C3)</f>
        <v>A2</v>
      </c>
      <c r="B3" s="8" t="s">
        <v>221</v>
      </c>
      <c r="C3" s="4">
        <v>2</v>
      </c>
      <c r="E3">
        <v>25</v>
      </c>
      <c r="F3" s="219">
        <f t="shared" si="0"/>
        <v>56.25</v>
      </c>
      <c r="H3" s="103" t="s">
        <v>248</v>
      </c>
      <c r="I3" s="330">
        <f>pot*0.35</f>
        <v>157.5</v>
      </c>
      <c r="K3" s="14" t="s">
        <v>222</v>
      </c>
      <c r="L3">
        <v>35</v>
      </c>
    </row>
    <row r="4" spans="1:13">
      <c r="A4" t="str">
        <f t="shared" si="1"/>
        <v>A3</v>
      </c>
      <c r="B4" s="8" t="s">
        <v>221</v>
      </c>
      <c r="C4" s="4">
        <v>3</v>
      </c>
      <c r="E4">
        <v>18</v>
      </c>
      <c r="F4" s="219">
        <f t="shared" si="0"/>
        <v>40.5</v>
      </c>
      <c r="H4" s="103" t="s">
        <v>249</v>
      </c>
      <c r="I4" s="330">
        <f>pot*0.15</f>
        <v>67.5</v>
      </c>
      <c r="K4" s="14" t="s">
        <v>223</v>
      </c>
      <c r="L4">
        <v>15</v>
      </c>
    </row>
    <row r="5" spans="1:13">
      <c r="A5" t="str">
        <f t="shared" si="1"/>
        <v>A4</v>
      </c>
      <c r="B5" s="8" t="s">
        <v>221</v>
      </c>
      <c r="C5" s="4">
        <v>4</v>
      </c>
      <c r="E5">
        <v>12</v>
      </c>
      <c r="F5" s="219">
        <f t="shared" si="0"/>
        <v>27</v>
      </c>
      <c r="H5" s="103" t="s">
        <v>250</v>
      </c>
      <c r="I5" s="330">
        <f>pot*0</f>
        <v>0</v>
      </c>
      <c r="K5" s="14" t="s">
        <v>224</v>
      </c>
    </row>
    <row r="6" spans="1:13">
      <c r="A6" t="str">
        <f t="shared" si="1"/>
        <v>A5</v>
      </c>
      <c r="B6" s="8" t="s">
        <v>221</v>
      </c>
      <c r="C6" s="4">
        <v>5</v>
      </c>
      <c r="E6">
        <v>7</v>
      </c>
      <c r="F6" s="219">
        <f t="shared" si="0"/>
        <v>15.75</v>
      </c>
      <c r="L6">
        <f>SUM(L2:L5)</f>
        <v>100</v>
      </c>
    </row>
    <row r="7" spans="1:13">
      <c r="A7" t="str">
        <f t="shared" si="1"/>
        <v>A6</v>
      </c>
      <c r="B7" s="8" t="s">
        <v>221</v>
      </c>
      <c r="C7" s="4">
        <v>6</v>
      </c>
      <c r="E7">
        <v>3</v>
      </c>
      <c r="F7" s="219">
        <f t="shared" si="0"/>
        <v>6.75</v>
      </c>
    </row>
    <row r="8" spans="1:13">
      <c r="A8" t="str">
        <f t="shared" si="1"/>
        <v>A7</v>
      </c>
      <c r="B8" s="8" t="s">
        <v>221</v>
      </c>
      <c r="C8" s="4">
        <v>7</v>
      </c>
      <c r="F8">
        <v>0</v>
      </c>
    </row>
    <row r="9" spans="1:13">
      <c r="A9" t="str">
        <f t="shared" si="1"/>
        <v>A8</v>
      </c>
      <c r="B9" s="8" t="s">
        <v>221</v>
      </c>
      <c r="C9" s="4">
        <v>8</v>
      </c>
      <c r="F9">
        <v>0</v>
      </c>
    </row>
    <row r="10" spans="1:13">
      <c r="A10" t="str">
        <f t="shared" si="1"/>
        <v>A9</v>
      </c>
      <c r="B10" s="8" t="s">
        <v>221</v>
      </c>
      <c r="C10" s="4">
        <v>9</v>
      </c>
      <c r="F10">
        <v>0</v>
      </c>
    </row>
    <row r="11" spans="1:13">
      <c r="A11" t="str">
        <f t="shared" si="1"/>
        <v>A10</v>
      </c>
      <c r="B11" s="8" t="s">
        <v>221</v>
      </c>
      <c r="C11" s="4">
        <v>10</v>
      </c>
      <c r="F11">
        <v>0</v>
      </c>
    </row>
    <row r="12" spans="1:13">
      <c r="A12" t="str">
        <f t="shared" si="1"/>
        <v>A11</v>
      </c>
      <c r="B12" s="8" t="s">
        <v>221</v>
      </c>
      <c r="C12" s="4">
        <v>11</v>
      </c>
      <c r="F12">
        <v>0</v>
      </c>
    </row>
    <row r="13" spans="1:13">
      <c r="A13" t="str">
        <f t="shared" si="1"/>
        <v>A12</v>
      </c>
      <c r="B13" s="8" t="s">
        <v>221</v>
      </c>
      <c r="C13" s="4">
        <v>12</v>
      </c>
      <c r="F13">
        <v>0</v>
      </c>
    </row>
    <row r="14" spans="1:13">
      <c r="A14" t="str">
        <f t="shared" si="1"/>
        <v>A13</v>
      </c>
      <c r="B14" s="8" t="s">
        <v>221</v>
      </c>
      <c r="C14" s="4">
        <v>13</v>
      </c>
      <c r="F14">
        <v>0</v>
      </c>
    </row>
    <row r="15" spans="1:13">
      <c r="A15" t="str">
        <f t="shared" si="1"/>
        <v>A14</v>
      </c>
      <c r="B15" s="8" t="s">
        <v>221</v>
      </c>
      <c r="C15" s="4">
        <v>14</v>
      </c>
      <c r="F15">
        <v>0</v>
      </c>
    </row>
    <row r="16" spans="1:13">
      <c r="A16" t="str">
        <f t="shared" si="1"/>
        <v>A15</v>
      </c>
      <c r="B16" s="8" t="s">
        <v>221</v>
      </c>
      <c r="C16" s="4">
        <v>15</v>
      </c>
      <c r="F16">
        <v>0</v>
      </c>
    </row>
    <row r="17" spans="1:6">
      <c r="A17" t="str">
        <f t="shared" si="1"/>
        <v>A16</v>
      </c>
      <c r="B17" s="8" t="s">
        <v>221</v>
      </c>
      <c r="C17" s="4">
        <v>16</v>
      </c>
      <c r="F17">
        <v>0</v>
      </c>
    </row>
    <row r="18" spans="1:6">
      <c r="A18" t="str">
        <f t="shared" si="1"/>
        <v>B1</v>
      </c>
      <c r="B18" s="8" t="s">
        <v>222</v>
      </c>
      <c r="C18" s="4">
        <v>1</v>
      </c>
      <c r="D18">
        <v>30</v>
      </c>
      <c r="E18">
        <v>35</v>
      </c>
      <c r="F18" s="219">
        <f t="shared" ref="F18:F23" si="2">PotB*E18/100</f>
        <v>55.125</v>
      </c>
    </row>
    <row r="19" spans="1:6">
      <c r="A19" t="str">
        <f t="shared" si="1"/>
        <v>B2</v>
      </c>
      <c r="B19" s="8" t="s">
        <v>222</v>
      </c>
      <c r="C19" s="4">
        <v>2</v>
      </c>
      <c r="E19">
        <v>25</v>
      </c>
      <c r="F19" s="219">
        <f t="shared" si="2"/>
        <v>39.375</v>
      </c>
    </row>
    <row r="20" spans="1:6">
      <c r="A20" t="str">
        <f t="shared" si="1"/>
        <v>B3</v>
      </c>
      <c r="B20" s="8" t="s">
        <v>222</v>
      </c>
      <c r="C20" s="4">
        <v>3</v>
      </c>
      <c r="E20">
        <v>18</v>
      </c>
      <c r="F20" s="219">
        <f t="shared" si="2"/>
        <v>28.35</v>
      </c>
    </row>
    <row r="21" spans="1:6">
      <c r="A21" t="str">
        <f t="shared" si="1"/>
        <v>B4</v>
      </c>
      <c r="B21" s="8" t="s">
        <v>222</v>
      </c>
      <c r="C21" s="4">
        <v>4</v>
      </c>
      <c r="E21">
        <v>12</v>
      </c>
      <c r="F21" s="219">
        <f t="shared" si="2"/>
        <v>18.899999999999999</v>
      </c>
    </row>
    <row r="22" spans="1:6">
      <c r="A22" t="str">
        <f t="shared" si="1"/>
        <v>B5</v>
      </c>
      <c r="B22" s="8" t="s">
        <v>222</v>
      </c>
      <c r="C22" s="4">
        <v>5</v>
      </c>
      <c r="E22">
        <v>7</v>
      </c>
      <c r="F22" s="219">
        <f t="shared" si="2"/>
        <v>11.025</v>
      </c>
    </row>
    <row r="23" spans="1:6">
      <c r="A23" t="str">
        <f t="shared" si="1"/>
        <v>B6</v>
      </c>
      <c r="B23" s="8" t="s">
        <v>222</v>
      </c>
      <c r="C23" s="4">
        <v>6</v>
      </c>
      <c r="E23">
        <v>3</v>
      </c>
      <c r="F23" s="219">
        <f t="shared" si="2"/>
        <v>4.7249999999999996</v>
      </c>
    </row>
    <row r="24" spans="1:6">
      <c r="A24" t="str">
        <f t="shared" si="1"/>
        <v>B7</v>
      </c>
      <c r="B24" s="8" t="s">
        <v>222</v>
      </c>
      <c r="C24" s="4">
        <v>7</v>
      </c>
      <c r="F24">
        <v>0</v>
      </c>
    </row>
    <row r="25" spans="1:6">
      <c r="A25" t="str">
        <f t="shared" si="1"/>
        <v>B8</v>
      </c>
      <c r="B25" s="8" t="s">
        <v>222</v>
      </c>
      <c r="C25" s="4">
        <v>8</v>
      </c>
      <c r="F25">
        <v>0</v>
      </c>
    </row>
    <row r="26" spans="1:6">
      <c r="A26" t="str">
        <f t="shared" si="1"/>
        <v>B9</v>
      </c>
      <c r="B26" s="8" t="s">
        <v>222</v>
      </c>
      <c r="C26" s="4">
        <v>9</v>
      </c>
      <c r="F26">
        <v>0</v>
      </c>
    </row>
    <row r="27" spans="1:6">
      <c r="A27" t="str">
        <f t="shared" si="1"/>
        <v>B10</v>
      </c>
      <c r="B27" s="8" t="s">
        <v>222</v>
      </c>
      <c r="C27" s="4">
        <v>10</v>
      </c>
      <c r="F27">
        <v>0</v>
      </c>
    </row>
    <row r="28" spans="1:6">
      <c r="A28" t="str">
        <f t="shared" si="1"/>
        <v>B11</v>
      </c>
      <c r="B28" s="8" t="s">
        <v>222</v>
      </c>
      <c r="C28" s="4">
        <v>11</v>
      </c>
      <c r="F28">
        <v>0</v>
      </c>
    </row>
    <row r="29" spans="1:6">
      <c r="A29" t="str">
        <f t="shared" si="1"/>
        <v>B12</v>
      </c>
      <c r="B29" s="8" t="s">
        <v>222</v>
      </c>
      <c r="C29" s="4">
        <v>12</v>
      </c>
      <c r="F29">
        <v>0</v>
      </c>
    </row>
    <row r="30" spans="1:6">
      <c r="A30" t="str">
        <f t="shared" si="1"/>
        <v>B13</v>
      </c>
      <c r="B30" s="8" t="s">
        <v>222</v>
      </c>
      <c r="C30" s="4">
        <v>13</v>
      </c>
      <c r="F30">
        <v>0</v>
      </c>
    </row>
    <row r="31" spans="1:6">
      <c r="A31" t="str">
        <f t="shared" si="1"/>
        <v>B14</v>
      </c>
      <c r="B31" s="8" t="s">
        <v>222</v>
      </c>
      <c r="C31" s="4">
        <v>14</v>
      </c>
      <c r="F31">
        <v>0</v>
      </c>
    </row>
    <row r="32" spans="1:6">
      <c r="A32" t="str">
        <f t="shared" si="1"/>
        <v>B15</v>
      </c>
      <c r="B32" s="8" t="s">
        <v>222</v>
      </c>
      <c r="C32" s="4">
        <v>15</v>
      </c>
      <c r="F32">
        <v>0</v>
      </c>
    </row>
    <row r="33" spans="1:6">
      <c r="A33" t="str">
        <f t="shared" si="1"/>
        <v>B16</v>
      </c>
      <c r="B33" s="8" t="s">
        <v>222</v>
      </c>
      <c r="C33" s="4">
        <v>16</v>
      </c>
      <c r="F33">
        <v>0</v>
      </c>
    </row>
    <row r="34" spans="1:6">
      <c r="A34" t="str">
        <f t="shared" si="1"/>
        <v>C1</v>
      </c>
      <c r="B34" s="8" t="s">
        <v>223</v>
      </c>
      <c r="C34" s="4">
        <v>1</v>
      </c>
      <c r="D34">
        <v>15</v>
      </c>
      <c r="E34">
        <v>35</v>
      </c>
      <c r="F34" s="219">
        <f t="shared" ref="F34:F39" si="3">PotC*E34/100</f>
        <v>23.625</v>
      </c>
    </row>
    <row r="35" spans="1:6">
      <c r="A35" t="str">
        <f t="shared" si="1"/>
        <v>C2</v>
      </c>
      <c r="B35" s="8" t="s">
        <v>223</v>
      </c>
      <c r="C35" s="4">
        <v>2</v>
      </c>
      <c r="E35">
        <v>25</v>
      </c>
      <c r="F35" s="219">
        <f t="shared" si="3"/>
        <v>16.875</v>
      </c>
    </row>
    <row r="36" spans="1:6">
      <c r="A36" t="str">
        <f t="shared" si="1"/>
        <v>C3</v>
      </c>
      <c r="B36" s="8" t="s">
        <v>223</v>
      </c>
      <c r="C36" s="4">
        <v>3</v>
      </c>
      <c r="E36">
        <v>18</v>
      </c>
      <c r="F36" s="219">
        <f t="shared" si="3"/>
        <v>12.15</v>
      </c>
    </row>
    <row r="37" spans="1:6">
      <c r="A37" t="str">
        <f t="shared" si="1"/>
        <v>C4</v>
      </c>
      <c r="B37" s="8" t="s">
        <v>223</v>
      </c>
      <c r="C37" s="4">
        <v>4</v>
      </c>
      <c r="E37">
        <v>12</v>
      </c>
      <c r="F37" s="219">
        <f t="shared" si="3"/>
        <v>8.1</v>
      </c>
    </row>
    <row r="38" spans="1:6">
      <c r="A38" t="str">
        <f t="shared" si="1"/>
        <v>C5</v>
      </c>
      <c r="B38" s="8" t="s">
        <v>223</v>
      </c>
      <c r="C38" s="4">
        <v>5</v>
      </c>
      <c r="E38">
        <v>7</v>
      </c>
      <c r="F38" s="219">
        <f t="shared" si="3"/>
        <v>4.7249999999999996</v>
      </c>
    </row>
    <row r="39" spans="1:6">
      <c r="A39" t="str">
        <f t="shared" si="1"/>
        <v>C6</v>
      </c>
      <c r="B39" s="8" t="s">
        <v>223</v>
      </c>
      <c r="C39" s="4">
        <v>6</v>
      </c>
      <c r="E39">
        <v>3</v>
      </c>
      <c r="F39" s="219">
        <f t="shared" si="3"/>
        <v>2.0249999999999999</v>
      </c>
    </row>
    <row r="40" spans="1:6">
      <c r="A40" t="str">
        <f t="shared" si="1"/>
        <v>C7</v>
      </c>
      <c r="B40" s="8" t="s">
        <v>223</v>
      </c>
      <c r="C40" s="4">
        <v>7</v>
      </c>
      <c r="F40">
        <v>0</v>
      </c>
    </row>
    <row r="41" spans="1:6">
      <c r="A41" t="str">
        <f t="shared" si="1"/>
        <v>C8</v>
      </c>
      <c r="B41" s="8" t="s">
        <v>223</v>
      </c>
      <c r="C41" s="4">
        <v>8</v>
      </c>
      <c r="F41">
        <v>0</v>
      </c>
    </row>
    <row r="42" spans="1:6">
      <c r="A42" t="str">
        <f t="shared" si="1"/>
        <v>C9</v>
      </c>
      <c r="B42" s="8" t="s">
        <v>223</v>
      </c>
      <c r="C42" s="4">
        <v>9</v>
      </c>
      <c r="F42">
        <v>0</v>
      </c>
    </row>
    <row r="43" spans="1:6">
      <c r="A43" t="str">
        <f t="shared" si="1"/>
        <v>C10</v>
      </c>
      <c r="B43" s="8" t="s">
        <v>223</v>
      </c>
      <c r="C43" s="4">
        <v>10</v>
      </c>
      <c r="F43">
        <v>0</v>
      </c>
    </row>
    <row r="44" spans="1:6">
      <c r="A44" t="str">
        <f t="shared" si="1"/>
        <v>C11</v>
      </c>
      <c r="B44" s="8" t="s">
        <v>223</v>
      </c>
      <c r="C44" s="4">
        <v>11</v>
      </c>
      <c r="F44">
        <v>0</v>
      </c>
    </row>
    <row r="45" spans="1:6">
      <c r="A45" t="str">
        <f t="shared" si="1"/>
        <v>C12</v>
      </c>
      <c r="B45" s="8" t="s">
        <v>223</v>
      </c>
      <c r="C45" s="4">
        <v>12</v>
      </c>
      <c r="F45">
        <v>0</v>
      </c>
    </row>
    <row r="46" spans="1:6">
      <c r="A46" t="str">
        <f t="shared" si="1"/>
        <v>C13</v>
      </c>
      <c r="B46" s="8" t="s">
        <v>223</v>
      </c>
      <c r="C46" s="4">
        <v>13</v>
      </c>
      <c r="F46">
        <v>0</v>
      </c>
    </row>
    <row r="47" spans="1:6">
      <c r="A47" t="str">
        <f t="shared" si="1"/>
        <v>C14</v>
      </c>
      <c r="B47" s="8" t="s">
        <v>223</v>
      </c>
      <c r="C47" s="4">
        <v>14</v>
      </c>
      <c r="F47">
        <v>0</v>
      </c>
    </row>
    <row r="48" spans="1:6">
      <c r="A48" t="str">
        <f t="shared" si="1"/>
        <v>C15</v>
      </c>
      <c r="B48" s="8" t="s">
        <v>223</v>
      </c>
      <c r="C48" s="4">
        <v>15</v>
      </c>
      <c r="F48">
        <v>0</v>
      </c>
    </row>
    <row r="49" spans="1:6">
      <c r="A49" t="str">
        <f t="shared" si="1"/>
        <v>C16</v>
      </c>
      <c r="B49" s="8" t="s">
        <v>223</v>
      </c>
      <c r="C49" s="4">
        <v>16</v>
      </c>
      <c r="F49">
        <v>0</v>
      </c>
    </row>
    <row r="50" spans="1:6">
      <c r="A50" t="str">
        <f t="shared" si="1"/>
        <v>D1</v>
      </c>
      <c r="B50" s="8" t="s">
        <v>224</v>
      </c>
      <c r="C50" s="4">
        <v>1</v>
      </c>
      <c r="D50">
        <v>10</v>
      </c>
      <c r="E50">
        <v>35</v>
      </c>
      <c r="F50" s="219">
        <f t="shared" ref="F50:F55" si="4">PotD*E50/100</f>
        <v>0</v>
      </c>
    </row>
    <row r="51" spans="1:6">
      <c r="A51" t="str">
        <f t="shared" si="1"/>
        <v>D2</v>
      </c>
      <c r="B51" s="8" t="s">
        <v>224</v>
      </c>
      <c r="C51" s="4">
        <v>2</v>
      </c>
      <c r="E51">
        <v>25</v>
      </c>
      <c r="F51" s="219">
        <f t="shared" si="4"/>
        <v>0</v>
      </c>
    </row>
    <row r="52" spans="1:6">
      <c r="A52" t="str">
        <f t="shared" si="1"/>
        <v>D3</v>
      </c>
      <c r="B52" s="8" t="s">
        <v>224</v>
      </c>
      <c r="C52" s="4">
        <v>3</v>
      </c>
      <c r="E52">
        <v>18</v>
      </c>
      <c r="F52" s="219">
        <f t="shared" si="4"/>
        <v>0</v>
      </c>
    </row>
    <row r="53" spans="1:6">
      <c r="A53" t="str">
        <f t="shared" si="1"/>
        <v>D4</v>
      </c>
      <c r="B53" s="8" t="s">
        <v>224</v>
      </c>
      <c r="C53" s="4">
        <v>4</v>
      </c>
      <c r="E53">
        <v>12</v>
      </c>
      <c r="F53" s="219">
        <f t="shared" si="4"/>
        <v>0</v>
      </c>
    </row>
    <row r="54" spans="1:6">
      <c r="A54" t="str">
        <f t="shared" si="1"/>
        <v>D5</v>
      </c>
      <c r="B54" s="8" t="s">
        <v>224</v>
      </c>
      <c r="C54" s="4">
        <v>5</v>
      </c>
      <c r="E54">
        <v>7</v>
      </c>
      <c r="F54" s="219">
        <f t="shared" si="4"/>
        <v>0</v>
      </c>
    </row>
    <row r="55" spans="1:6">
      <c r="A55" t="str">
        <f t="shared" si="1"/>
        <v>D6</v>
      </c>
      <c r="B55" s="8" t="s">
        <v>224</v>
      </c>
      <c r="C55" s="4">
        <v>6</v>
      </c>
      <c r="E55">
        <v>3</v>
      </c>
      <c r="F55" s="219">
        <f t="shared" si="4"/>
        <v>0</v>
      </c>
    </row>
    <row r="56" spans="1:6">
      <c r="A56" t="str">
        <f t="shared" si="1"/>
        <v>D7</v>
      </c>
      <c r="B56" s="8" t="s">
        <v>224</v>
      </c>
      <c r="C56" s="4">
        <v>7</v>
      </c>
      <c r="F56">
        <v>0</v>
      </c>
    </row>
    <row r="57" spans="1:6">
      <c r="A57" t="str">
        <f t="shared" si="1"/>
        <v>D8</v>
      </c>
      <c r="B57" s="8" t="s">
        <v>224</v>
      </c>
      <c r="C57" s="4">
        <v>8</v>
      </c>
      <c r="F57">
        <v>0</v>
      </c>
    </row>
    <row r="58" spans="1:6">
      <c r="A58" t="str">
        <f t="shared" si="1"/>
        <v>D9</v>
      </c>
      <c r="B58" s="8" t="s">
        <v>224</v>
      </c>
      <c r="C58" s="4">
        <v>9</v>
      </c>
      <c r="F58">
        <v>0</v>
      </c>
    </row>
    <row r="59" spans="1:6">
      <c r="A59" t="str">
        <f t="shared" si="1"/>
        <v>D10</v>
      </c>
      <c r="B59" s="8" t="s">
        <v>224</v>
      </c>
      <c r="C59" s="4">
        <v>10</v>
      </c>
      <c r="F59">
        <v>0</v>
      </c>
    </row>
    <row r="60" spans="1:6">
      <c r="A60" t="str">
        <f t="shared" si="1"/>
        <v>D11</v>
      </c>
      <c r="B60" s="8" t="s">
        <v>224</v>
      </c>
      <c r="C60" s="4">
        <v>11</v>
      </c>
      <c r="F60">
        <v>0</v>
      </c>
    </row>
    <row r="61" spans="1:6">
      <c r="A61" t="str">
        <f t="shared" si="1"/>
        <v>D12</v>
      </c>
      <c r="B61" s="8" t="s">
        <v>224</v>
      </c>
      <c r="C61" s="4">
        <v>12</v>
      </c>
      <c r="F61">
        <v>0</v>
      </c>
    </row>
    <row r="62" spans="1:6">
      <c r="A62" t="str">
        <f t="shared" si="1"/>
        <v>D13</v>
      </c>
      <c r="B62" s="8" t="s">
        <v>224</v>
      </c>
      <c r="C62" s="4">
        <v>13</v>
      </c>
      <c r="F62">
        <v>0</v>
      </c>
    </row>
    <row r="63" spans="1:6">
      <c r="A63" t="str">
        <f t="shared" si="1"/>
        <v>D14</v>
      </c>
      <c r="B63" s="8" t="s">
        <v>224</v>
      </c>
      <c r="C63" s="4">
        <v>14</v>
      </c>
      <c r="F63">
        <v>0</v>
      </c>
    </row>
    <row r="64" spans="1:6">
      <c r="A64" t="str">
        <f t="shared" ref="A64:A101" si="5">CONCATENATE(B64,C64)</f>
        <v>D15</v>
      </c>
      <c r="B64" s="8" t="s">
        <v>224</v>
      </c>
      <c r="C64" s="4">
        <v>15</v>
      </c>
      <c r="F64">
        <v>0</v>
      </c>
    </row>
    <row r="65" spans="1:6">
      <c r="A65" t="str">
        <f t="shared" si="5"/>
        <v>D16</v>
      </c>
      <c r="B65" s="8" t="s">
        <v>224</v>
      </c>
      <c r="C65" s="4">
        <v>16</v>
      </c>
      <c r="F65">
        <v>0</v>
      </c>
    </row>
    <row r="66" spans="1:6">
      <c r="A66" t="str">
        <f t="shared" si="5"/>
        <v>D17</v>
      </c>
      <c r="B66" s="8" t="s">
        <v>224</v>
      </c>
      <c r="C66" s="4">
        <v>17</v>
      </c>
      <c r="F66">
        <v>0</v>
      </c>
    </row>
    <row r="67" spans="1:6">
      <c r="A67" t="str">
        <f t="shared" si="5"/>
        <v>D18</v>
      </c>
      <c r="B67" s="8" t="s">
        <v>224</v>
      </c>
      <c r="C67" s="4">
        <v>18</v>
      </c>
      <c r="F67">
        <v>0</v>
      </c>
    </row>
    <row r="68" spans="1:6">
      <c r="A68" t="str">
        <f t="shared" si="5"/>
        <v>D19</v>
      </c>
      <c r="B68" s="8" t="s">
        <v>224</v>
      </c>
      <c r="C68" s="4">
        <v>19</v>
      </c>
      <c r="F68">
        <v>0</v>
      </c>
    </row>
    <row r="69" spans="1:6">
      <c r="A69" t="str">
        <f t="shared" si="5"/>
        <v>D20</v>
      </c>
      <c r="B69" s="8" t="s">
        <v>224</v>
      </c>
      <c r="C69" s="4">
        <v>20</v>
      </c>
      <c r="F69">
        <v>0</v>
      </c>
    </row>
    <row r="70" spans="1:6">
      <c r="A70" t="str">
        <f t="shared" si="5"/>
        <v>D21</v>
      </c>
      <c r="B70" s="8" t="s">
        <v>224</v>
      </c>
      <c r="C70" s="4">
        <v>21</v>
      </c>
      <c r="F70">
        <v>0</v>
      </c>
    </row>
    <row r="71" spans="1:6">
      <c r="A71" t="str">
        <f t="shared" si="5"/>
        <v>D22</v>
      </c>
      <c r="B71" s="8" t="s">
        <v>224</v>
      </c>
      <c r="C71" s="4">
        <v>22</v>
      </c>
      <c r="F71">
        <v>0</v>
      </c>
    </row>
    <row r="72" spans="1:6">
      <c r="A72" t="str">
        <f t="shared" si="5"/>
        <v>D23</v>
      </c>
      <c r="B72" s="8" t="s">
        <v>224</v>
      </c>
      <c r="C72" s="4">
        <v>23</v>
      </c>
      <c r="F72">
        <v>0</v>
      </c>
    </row>
    <row r="73" spans="1:6">
      <c r="A73" t="str">
        <f t="shared" si="5"/>
        <v>D24</v>
      </c>
      <c r="B73" s="8" t="s">
        <v>224</v>
      </c>
      <c r="C73" s="4">
        <v>24</v>
      </c>
      <c r="F73">
        <v>0</v>
      </c>
    </row>
    <row r="74" spans="1:6">
      <c r="A74" t="str">
        <f t="shared" si="5"/>
        <v>D25</v>
      </c>
      <c r="B74" s="8" t="s">
        <v>224</v>
      </c>
      <c r="C74" s="4">
        <v>25</v>
      </c>
      <c r="F74">
        <v>0</v>
      </c>
    </row>
    <row r="75" spans="1:6">
      <c r="A75" t="str">
        <f t="shared" si="5"/>
        <v>D26</v>
      </c>
      <c r="B75" s="8" t="s">
        <v>224</v>
      </c>
      <c r="C75" s="4">
        <v>26</v>
      </c>
      <c r="F75">
        <v>0</v>
      </c>
    </row>
    <row r="76" spans="1:6">
      <c r="A76" t="str">
        <f t="shared" si="5"/>
        <v>D27</v>
      </c>
      <c r="B76" s="8" t="s">
        <v>224</v>
      </c>
      <c r="C76" s="4">
        <v>27</v>
      </c>
      <c r="F76">
        <v>0</v>
      </c>
    </row>
    <row r="77" spans="1:6">
      <c r="A77" t="str">
        <f t="shared" si="5"/>
        <v>D28</v>
      </c>
      <c r="B77" s="8" t="s">
        <v>224</v>
      </c>
      <c r="C77" s="4">
        <v>28</v>
      </c>
      <c r="F77">
        <v>0</v>
      </c>
    </row>
    <row r="78" spans="1:6">
      <c r="A78" t="str">
        <f t="shared" si="5"/>
        <v>D29</v>
      </c>
      <c r="B78" s="8" t="s">
        <v>224</v>
      </c>
      <c r="C78" s="4">
        <v>29</v>
      </c>
      <c r="F78">
        <v>0</v>
      </c>
    </row>
    <row r="79" spans="1:6">
      <c r="A79" t="str">
        <f t="shared" si="5"/>
        <v>D30</v>
      </c>
      <c r="B79" s="8" t="s">
        <v>224</v>
      </c>
      <c r="C79" s="4">
        <v>30</v>
      </c>
      <c r="F79">
        <v>0</v>
      </c>
    </row>
    <row r="80" spans="1:6">
      <c r="A80" t="str">
        <f t="shared" si="5"/>
        <v>D31</v>
      </c>
      <c r="B80" s="8" t="s">
        <v>224</v>
      </c>
      <c r="C80" s="4">
        <v>31</v>
      </c>
      <c r="F80">
        <v>0</v>
      </c>
    </row>
    <row r="81" spans="1:6">
      <c r="A81" t="str">
        <f t="shared" si="5"/>
        <v>D32</v>
      </c>
      <c r="B81" s="8" t="s">
        <v>224</v>
      </c>
      <c r="C81" s="4">
        <v>32</v>
      </c>
      <c r="F81">
        <v>0</v>
      </c>
    </row>
    <row r="82" spans="1:6">
      <c r="A82" t="str">
        <f t="shared" si="5"/>
        <v>D33</v>
      </c>
      <c r="B82" s="8" t="s">
        <v>224</v>
      </c>
      <c r="C82" s="4">
        <v>33</v>
      </c>
      <c r="F82">
        <v>0</v>
      </c>
    </row>
    <row r="83" spans="1:6">
      <c r="A83" t="str">
        <f t="shared" si="5"/>
        <v>D34</v>
      </c>
      <c r="B83" s="8" t="s">
        <v>224</v>
      </c>
      <c r="C83" s="4">
        <v>34</v>
      </c>
      <c r="F83">
        <v>0</v>
      </c>
    </row>
    <row r="84" spans="1:6">
      <c r="A84" t="str">
        <f t="shared" si="5"/>
        <v>D35</v>
      </c>
      <c r="B84" s="8" t="s">
        <v>224</v>
      </c>
      <c r="C84" s="4">
        <v>35</v>
      </c>
      <c r="F84">
        <v>0</v>
      </c>
    </row>
    <row r="85" spans="1:6">
      <c r="A85" t="str">
        <f t="shared" si="5"/>
        <v>D36</v>
      </c>
      <c r="B85" s="8" t="s">
        <v>224</v>
      </c>
      <c r="C85" s="4">
        <v>36</v>
      </c>
      <c r="F85">
        <v>0</v>
      </c>
    </row>
    <row r="86" spans="1:6">
      <c r="A86" t="str">
        <f t="shared" si="5"/>
        <v>D37</v>
      </c>
      <c r="B86" s="8" t="s">
        <v>224</v>
      </c>
      <c r="C86" s="4">
        <v>37</v>
      </c>
      <c r="F86">
        <v>0</v>
      </c>
    </row>
    <row r="87" spans="1:6">
      <c r="A87" t="str">
        <f t="shared" si="5"/>
        <v>D38</v>
      </c>
      <c r="B87" s="8" t="s">
        <v>224</v>
      </c>
      <c r="C87" s="4">
        <v>38</v>
      </c>
      <c r="F87">
        <v>0</v>
      </c>
    </row>
    <row r="88" spans="1:6">
      <c r="A88" t="str">
        <f t="shared" si="5"/>
        <v>D39</v>
      </c>
      <c r="B88" s="8" t="s">
        <v>224</v>
      </c>
      <c r="C88" s="4">
        <v>39</v>
      </c>
      <c r="F88">
        <v>0</v>
      </c>
    </row>
    <row r="89" spans="1:6">
      <c r="A89" t="str">
        <f t="shared" si="5"/>
        <v>D40</v>
      </c>
      <c r="B89" s="8" t="s">
        <v>224</v>
      </c>
      <c r="C89" s="4">
        <v>40</v>
      </c>
      <c r="F89">
        <v>0</v>
      </c>
    </row>
    <row r="90" spans="1:6">
      <c r="A90" t="str">
        <f t="shared" si="5"/>
        <v>D41</v>
      </c>
      <c r="B90" s="8" t="s">
        <v>224</v>
      </c>
      <c r="C90" s="4">
        <v>41</v>
      </c>
      <c r="F90">
        <v>0</v>
      </c>
    </row>
    <row r="91" spans="1:6">
      <c r="A91" t="str">
        <f t="shared" si="5"/>
        <v>D42</v>
      </c>
      <c r="B91" s="8" t="s">
        <v>224</v>
      </c>
      <c r="C91" s="4">
        <v>42</v>
      </c>
      <c r="F91">
        <v>0</v>
      </c>
    </row>
    <row r="92" spans="1:6">
      <c r="A92" t="str">
        <f t="shared" si="5"/>
        <v>D43</v>
      </c>
      <c r="B92" s="8" t="s">
        <v>224</v>
      </c>
      <c r="C92" s="4">
        <v>43</v>
      </c>
      <c r="F92">
        <v>0</v>
      </c>
    </row>
    <row r="93" spans="1:6">
      <c r="A93" t="str">
        <f t="shared" si="5"/>
        <v>D44</v>
      </c>
      <c r="B93" s="8" t="s">
        <v>224</v>
      </c>
      <c r="C93" s="4">
        <v>44</v>
      </c>
      <c r="F93">
        <v>0</v>
      </c>
    </row>
    <row r="94" spans="1:6">
      <c r="A94" t="str">
        <f t="shared" si="5"/>
        <v>D45</v>
      </c>
      <c r="B94" s="8" t="s">
        <v>224</v>
      </c>
      <c r="C94" s="4">
        <v>45</v>
      </c>
      <c r="F94">
        <v>0</v>
      </c>
    </row>
    <row r="95" spans="1:6">
      <c r="A95" t="str">
        <f t="shared" si="5"/>
        <v>D46</v>
      </c>
      <c r="B95" s="8" t="s">
        <v>224</v>
      </c>
      <c r="C95" s="4">
        <v>46</v>
      </c>
      <c r="F95">
        <v>0</v>
      </c>
    </row>
    <row r="96" spans="1:6">
      <c r="A96" t="str">
        <f t="shared" si="5"/>
        <v>D47</v>
      </c>
      <c r="B96" s="8" t="s">
        <v>224</v>
      </c>
      <c r="C96" s="4">
        <v>47</v>
      </c>
      <c r="F96">
        <v>0</v>
      </c>
    </row>
    <row r="97" spans="1:6">
      <c r="A97" t="str">
        <f t="shared" si="5"/>
        <v>D48</v>
      </c>
      <c r="B97" s="8" t="s">
        <v>224</v>
      </c>
      <c r="C97" s="4">
        <v>48</v>
      </c>
      <c r="F97">
        <v>0</v>
      </c>
    </row>
    <row r="98" spans="1:6">
      <c r="A98" t="str">
        <f t="shared" si="5"/>
        <v>D49</v>
      </c>
      <c r="B98" s="8" t="s">
        <v>224</v>
      </c>
      <c r="C98" s="4">
        <v>49</v>
      </c>
      <c r="F98">
        <v>0</v>
      </c>
    </row>
    <row r="99" spans="1:6">
      <c r="A99" t="str">
        <f t="shared" si="5"/>
        <v>D50</v>
      </c>
      <c r="B99" s="8" t="s">
        <v>224</v>
      </c>
      <c r="C99" s="4">
        <v>50</v>
      </c>
      <c r="F99">
        <v>0</v>
      </c>
    </row>
    <row r="100" spans="1:6">
      <c r="A100" t="str">
        <f t="shared" si="5"/>
        <v>D51</v>
      </c>
      <c r="B100" s="8" t="s">
        <v>224</v>
      </c>
      <c r="C100" s="4">
        <v>51</v>
      </c>
      <c r="F100">
        <v>0</v>
      </c>
    </row>
    <row r="101" spans="1:6">
      <c r="A101" t="str">
        <f t="shared" si="5"/>
        <v>D52</v>
      </c>
      <c r="B101" s="8" t="s">
        <v>224</v>
      </c>
      <c r="C101" s="4">
        <v>52</v>
      </c>
      <c r="F101">
        <v>0</v>
      </c>
    </row>
    <row r="102" spans="1:6">
      <c r="A102" s="8" t="s">
        <v>497</v>
      </c>
      <c r="B102" s="8" t="s">
        <v>223</v>
      </c>
      <c r="C102" s="4">
        <v>17</v>
      </c>
      <c r="F102">
        <v>0</v>
      </c>
    </row>
    <row r="103" spans="1:6">
      <c r="A103" s="8" t="s">
        <v>499</v>
      </c>
      <c r="B103" s="8" t="s">
        <v>223</v>
      </c>
      <c r="C103" s="4">
        <v>18</v>
      </c>
      <c r="F103">
        <v>0</v>
      </c>
    </row>
    <row r="104" spans="1:6">
      <c r="A104" s="8" t="s">
        <v>500</v>
      </c>
      <c r="B104" s="8" t="s">
        <v>223</v>
      </c>
      <c r="C104" s="4">
        <v>19</v>
      </c>
      <c r="F104">
        <v>0</v>
      </c>
    </row>
    <row r="105" spans="1:6">
      <c r="A105" s="8" t="s">
        <v>498</v>
      </c>
      <c r="B105" s="8" t="s">
        <v>223</v>
      </c>
      <c r="C105" s="4">
        <v>20</v>
      </c>
      <c r="F105">
        <v>0</v>
      </c>
    </row>
  </sheetData>
  <hyperlinks>
    <hyperlink ref="A1" location="Menu!A1" display="Menu!A1" xr:uid="{00000000-0004-0000-1100-000000000000}"/>
  </hyperlink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W50"/>
  <sheetViews>
    <sheetView workbookViewId="0">
      <selection activeCell="M3" sqref="M3"/>
    </sheetView>
  </sheetViews>
  <sheetFormatPr defaultRowHeight="12.75"/>
  <cols>
    <col min="1" max="1" width="2.73046875" customWidth="1"/>
    <col min="2" max="2" width="22.73046875" bestFit="1" customWidth="1"/>
    <col min="3" max="3" width="9.1328125" customWidth="1"/>
    <col min="5" max="5" width="9.1328125" customWidth="1"/>
    <col min="7" max="7" width="10.86328125" customWidth="1"/>
    <col min="8" max="8" width="3.1328125" customWidth="1"/>
    <col min="9" max="11" width="0" hidden="1" customWidth="1"/>
    <col min="13" max="13" width="9.86328125" bestFit="1" customWidth="1"/>
    <col min="14" max="14" width="4" customWidth="1"/>
  </cols>
  <sheetData>
    <row r="1" spans="1:23">
      <c r="A1" s="76"/>
      <c r="B1" s="76"/>
      <c r="C1" s="76"/>
      <c r="D1" s="76"/>
      <c r="E1" s="76"/>
      <c r="F1" s="76"/>
      <c r="G1" s="76"/>
      <c r="H1" s="76"/>
      <c r="I1" s="76"/>
      <c r="J1" s="76"/>
      <c r="K1" s="76"/>
      <c r="L1" s="76"/>
      <c r="M1" s="76"/>
      <c r="N1" s="76"/>
      <c r="O1" s="76"/>
    </row>
    <row r="2" spans="1:23" ht="13.5" thickBot="1">
      <c r="A2" s="76"/>
      <c r="B2" s="76"/>
      <c r="C2" s="76"/>
      <c r="D2" s="76"/>
      <c r="E2" s="76"/>
      <c r="F2" s="76"/>
      <c r="G2" s="76"/>
      <c r="H2" s="76"/>
      <c r="I2" s="76"/>
      <c r="J2" s="76"/>
      <c r="K2" s="76"/>
      <c r="L2" s="79"/>
      <c r="M2" s="79"/>
      <c r="N2" s="79"/>
      <c r="O2" s="353" t="s">
        <v>343</v>
      </c>
    </row>
    <row r="3" spans="1:23" ht="17.649999999999999" thickBot="1">
      <c r="A3" s="76"/>
      <c r="B3" s="354" t="s">
        <v>270</v>
      </c>
      <c r="C3" s="137"/>
      <c r="D3" s="137"/>
      <c r="E3" s="137"/>
      <c r="F3" s="137"/>
      <c r="G3" s="137"/>
      <c r="H3" s="137"/>
      <c r="I3" s="137"/>
      <c r="J3" s="137"/>
      <c r="K3" s="137"/>
      <c r="L3" s="355" t="s">
        <v>344</v>
      </c>
      <c r="M3" s="371" t="e">
        <f>INDEX(Table!I:I,MATCH(B3,Table!F:F,0))</f>
        <v>#N/A</v>
      </c>
      <c r="N3" s="356"/>
      <c r="O3" s="372" t="e">
        <f>M3-7</f>
        <v>#N/A</v>
      </c>
    </row>
    <row r="4" spans="1:23" ht="13.15">
      <c r="A4" s="76"/>
      <c r="B4" s="76"/>
      <c r="C4" s="150" t="s">
        <v>25</v>
      </c>
      <c r="D4" s="370" t="s">
        <v>345</v>
      </c>
      <c r="E4" s="150" t="s">
        <v>173</v>
      </c>
      <c r="F4" s="150" t="s">
        <v>173</v>
      </c>
      <c r="G4" s="150" t="s">
        <v>25</v>
      </c>
      <c r="H4" s="80"/>
      <c r="I4" s="80"/>
      <c r="J4" s="80"/>
      <c r="K4" s="80"/>
      <c r="L4" s="357" t="s">
        <v>166</v>
      </c>
      <c r="M4" s="357" t="s">
        <v>167</v>
      </c>
      <c r="N4" s="358"/>
      <c r="O4" s="359">
        <f>IF(K4=0,0,1)+K4</f>
        <v>0</v>
      </c>
      <c r="V4" t="s">
        <v>278</v>
      </c>
      <c r="W4" t="s">
        <v>397</v>
      </c>
    </row>
    <row r="5" spans="1:23">
      <c r="A5" s="76"/>
      <c r="B5" s="76"/>
      <c r="C5" s="151" t="s">
        <v>174</v>
      </c>
      <c r="D5" s="360" t="s">
        <v>153</v>
      </c>
      <c r="E5" s="152" t="s">
        <v>27</v>
      </c>
      <c r="F5" s="152" t="s">
        <v>27</v>
      </c>
      <c r="G5" s="152" t="s">
        <v>13</v>
      </c>
      <c r="H5" s="80"/>
      <c r="I5" s="147" t="e">
        <f>F6</f>
        <v>#N/A</v>
      </c>
      <c r="J5" s="147" t="e">
        <f>F7</f>
        <v>#N/A</v>
      </c>
      <c r="K5" s="147" t="e">
        <f>F8</f>
        <v>#N/A</v>
      </c>
      <c r="L5" s="359" t="e">
        <f>IF(I5=0,0,1)+I5</f>
        <v>#N/A</v>
      </c>
      <c r="M5" s="359" t="e">
        <f>IF(J5=0,0,1)+J5</f>
        <v>#N/A</v>
      </c>
      <c r="N5" s="359"/>
      <c r="O5" s="359" t="e">
        <f>IF(K5=0,0,1)+K5</f>
        <v>#N/A</v>
      </c>
      <c r="P5" s="359" t="e">
        <f>IF(J5=0,0,(L5*J5)+L5)</f>
        <v>#N/A</v>
      </c>
      <c r="Q5" s="359" t="e">
        <f>IF(K5=0,0,(M5*K5)+M5)</f>
        <v>#N/A</v>
      </c>
      <c r="R5" s="359" t="e">
        <f>IF(I5=0,0,(O5*I5)+O5)</f>
        <v>#N/A</v>
      </c>
      <c r="S5" s="359" t="e">
        <f>IF(K5=0,0,(P5*K5)+P5)</f>
        <v>#N/A</v>
      </c>
      <c r="V5" t="s">
        <v>278</v>
      </c>
      <c r="W5" t="s">
        <v>396</v>
      </c>
    </row>
    <row r="6" spans="1:23" ht="16.149999999999999" thickBot="1">
      <c r="A6" s="76"/>
      <c r="B6" s="89" t="s">
        <v>410</v>
      </c>
      <c r="C6" s="153" t="s">
        <v>176</v>
      </c>
      <c r="D6" s="361" t="e">
        <f>INDEX(Picks!F:F,MATCH(B6,Picks!E:E,0))</f>
        <v>#N/A</v>
      </c>
      <c r="E6" s="361" t="e">
        <f>INDEX(Picks!G:G,MATCH(B6,Picks!E:E,0))</f>
        <v>#N/A</v>
      </c>
      <c r="F6" s="361" t="e">
        <f>+((E6-1)*G6)</f>
        <v>#N/A</v>
      </c>
      <c r="G6" s="146">
        <v>1</v>
      </c>
      <c r="H6" s="80"/>
      <c r="I6" s="80"/>
      <c r="J6" s="80"/>
      <c r="K6" s="80"/>
      <c r="L6" s="357"/>
      <c r="M6" s="357"/>
      <c r="N6" s="357"/>
      <c r="O6" s="357"/>
      <c r="P6" s="357"/>
      <c r="Q6" s="357"/>
      <c r="R6" s="357"/>
      <c r="S6" s="357"/>
      <c r="V6" t="s">
        <v>278</v>
      </c>
      <c r="W6" t="s">
        <v>337</v>
      </c>
    </row>
    <row r="7" spans="1:23" ht="15.75">
      <c r="A7" s="76"/>
      <c r="B7" s="89" t="s">
        <v>165</v>
      </c>
      <c r="C7" s="153" t="s">
        <v>176</v>
      </c>
      <c r="D7" s="361" t="e">
        <f>INDEX(Picks!F:F,MATCH(B7,Picks!E:E,0))</f>
        <v>#N/A</v>
      </c>
      <c r="E7" s="361" t="e">
        <f>INDEX(Picks!G:G,MATCH(B7,Picks!E:E,0))</f>
        <v>#N/A</v>
      </c>
      <c r="F7" s="361" t="e">
        <f>+((E7-1)*G7)</f>
        <v>#N/A</v>
      </c>
      <c r="G7" s="146">
        <v>1</v>
      </c>
      <c r="H7" s="80"/>
      <c r="I7" s="80"/>
      <c r="J7" s="80"/>
      <c r="K7" s="80"/>
      <c r="L7" s="5" t="s">
        <v>13</v>
      </c>
      <c r="M7" s="5" t="s">
        <v>28</v>
      </c>
      <c r="N7" s="362"/>
      <c r="O7" s="363" t="s">
        <v>18</v>
      </c>
      <c r="P7" s="366"/>
      <c r="Q7" s="357"/>
      <c r="R7" s="357"/>
      <c r="S7" s="357"/>
      <c r="V7" t="s">
        <v>290</v>
      </c>
      <c r="W7" t="s">
        <v>337</v>
      </c>
    </row>
    <row r="8" spans="1:23" ht="16.149999999999999" thickBot="1">
      <c r="A8" s="76"/>
      <c r="B8" s="89" t="s">
        <v>406</v>
      </c>
      <c r="C8" s="153" t="s">
        <v>176</v>
      </c>
      <c r="D8" s="361" t="e">
        <f>INDEX(Picks!F:F,MATCH(B8,Picks!E:E,0))</f>
        <v>#N/A</v>
      </c>
      <c r="E8" s="361" t="e">
        <f>INDEX(Picks!G:G,MATCH(B8,Picks!E:E,0))</f>
        <v>#N/A</v>
      </c>
      <c r="F8" s="361" t="e">
        <f>+((E8-1)*G8)</f>
        <v>#N/A</v>
      </c>
      <c r="G8" s="146">
        <v>1</v>
      </c>
      <c r="H8" s="80"/>
      <c r="I8" s="80"/>
      <c r="J8" s="80"/>
      <c r="K8" s="80"/>
      <c r="L8" s="6">
        <f>SUM(G6:G8)</f>
        <v>3</v>
      </c>
      <c r="M8" s="7" t="e">
        <f>SUM(L5:S5)-7</f>
        <v>#N/A</v>
      </c>
      <c r="N8" s="364"/>
      <c r="O8" s="365" t="e">
        <f>$M$3+M8</f>
        <v>#N/A</v>
      </c>
      <c r="P8" s="366"/>
      <c r="Q8" s="357"/>
      <c r="R8" s="357"/>
      <c r="S8" s="357"/>
      <c r="V8" t="s">
        <v>290</v>
      </c>
      <c r="W8" t="s">
        <v>165</v>
      </c>
    </row>
    <row r="9" spans="1:23">
      <c r="A9" s="76"/>
      <c r="B9" s="76"/>
      <c r="C9" s="76"/>
      <c r="D9" s="80"/>
      <c r="E9" s="80"/>
      <c r="F9" s="80"/>
      <c r="G9" s="80"/>
      <c r="H9" s="80"/>
      <c r="I9" s="76"/>
      <c r="J9" s="76"/>
      <c r="K9" s="80"/>
      <c r="L9" s="80"/>
      <c r="M9" s="80"/>
      <c r="N9" s="80"/>
      <c r="O9" s="357"/>
      <c r="P9" s="357"/>
      <c r="Q9" s="357"/>
      <c r="R9" s="357"/>
      <c r="S9" s="357"/>
      <c r="V9" t="s">
        <v>290</v>
      </c>
      <c r="W9" t="s">
        <v>411</v>
      </c>
    </row>
    <row r="10" spans="1:23">
      <c r="A10" s="76"/>
      <c r="B10" s="76"/>
      <c r="C10" s="76"/>
      <c r="D10" s="80"/>
      <c r="E10" s="80"/>
      <c r="F10" s="80"/>
      <c r="G10" s="80"/>
      <c r="H10" s="80"/>
      <c r="I10" s="76"/>
      <c r="J10" s="76"/>
      <c r="K10" s="80"/>
      <c r="L10" s="357"/>
      <c r="M10" s="357"/>
      <c r="N10" s="357"/>
      <c r="O10" s="357"/>
      <c r="P10" s="357"/>
      <c r="Q10" s="357"/>
      <c r="R10" s="357"/>
      <c r="S10" s="357"/>
      <c r="V10" t="s">
        <v>279</v>
      </c>
      <c r="W10" t="s">
        <v>409</v>
      </c>
    </row>
    <row r="11" spans="1:23">
      <c r="A11" s="76"/>
      <c r="B11" s="76"/>
      <c r="C11" s="150" t="s">
        <v>25</v>
      </c>
      <c r="D11" s="370" t="s">
        <v>345</v>
      </c>
      <c r="E11" s="150" t="s">
        <v>173</v>
      </c>
      <c r="F11" s="150" t="s">
        <v>173</v>
      </c>
      <c r="G11" s="150" t="s">
        <v>25</v>
      </c>
      <c r="H11" s="80"/>
      <c r="I11" s="80"/>
      <c r="J11" s="80"/>
      <c r="K11" s="80"/>
      <c r="L11" s="357" t="s">
        <v>166</v>
      </c>
      <c r="M11" s="357" t="s">
        <v>167</v>
      </c>
      <c r="N11" s="357"/>
      <c r="O11" s="357" t="s">
        <v>168</v>
      </c>
      <c r="P11" s="357" t="s">
        <v>169</v>
      </c>
      <c r="Q11" s="357" t="s">
        <v>170</v>
      </c>
      <c r="R11" s="357" t="s">
        <v>171</v>
      </c>
      <c r="S11" s="357" t="s">
        <v>172</v>
      </c>
      <c r="V11" t="s">
        <v>279</v>
      </c>
      <c r="W11" t="s">
        <v>408</v>
      </c>
    </row>
    <row r="12" spans="1:23">
      <c r="A12" s="76"/>
      <c r="B12" s="76"/>
      <c r="C12" s="151" t="s">
        <v>174</v>
      </c>
      <c r="D12" s="360" t="s">
        <v>153</v>
      </c>
      <c r="E12" s="152" t="s">
        <v>27</v>
      </c>
      <c r="F12" s="152" t="s">
        <v>27</v>
      </c>
      <c r="G12" s="152" t="s">
        <v>13</v>
      </c>
      <c r="H12" s="80"/>
      <c r="I12" s="147" t="e">
        <f>F13</f>
        <v>#N/A</v>
      </c>
      <c r="J12" s="147" t="e">
        <f>F14</f>
        <v>#N/A</v>
      </c>
      <c r="K12" s="147" t="e">
        <f>F15</f>
        <v>#N/A</v>
      </c>
      <c r="L12" s="359" t="e">
        <f>IF(I12=0,0,1)+I12</f>
        <v>#N/A</v>
      </c>
      <c r="M12" s="359" t="e">
        <f>IF(J12=0,0,1)+J12</f>
        <v>#N/A</v>
      </c>
      <c r="N12" s="359"/>
      <c r="O12" s="359" t="e">
        <f>IF(K12=0,0,1)+K12</f>
        <v>#N/A</v>
      </c>
      <c r="P12" s="359" t="e">
        <f>IF(J12=0,0,(L12*J12)+L12)</f>
        <v>#N/A</v>
      </c>
      <c r="Q12" s="359" t="e">
        <f>IF(K12=0,0,(M12*K12)+M12)</f>
        <v>#N/A</v>
      </c>
      <c r="R12" s="359" t="e">
        <f>IF(I12=0,0,(O12*I12)+O12)</f>
        <v>#N/A</v>
      </c>
      <c r="S12" s="359" t="e">
        <f>IF(K12=0,0,(P12*K12)+P12)</f>
        <v>#N/A</v>
      </c>
      <c r="V12" t="s">
        <v>279</v>
      </c>
      <c r="W12" t="s">
        <v>337</v>
      </c>
    </row>
    <row r="13" spans="1:23" ht="16.149999999999999" thickBot="1">
      <c r="A13" s="76"/>
      <c r="B13" s="89" t="str">
        <f>game1</f>
        <v>Spurs</v>
      </c>
      <c r="C13" s="153" t="s">
        <v>176</v>
      </c>
      <c r="D13" s="361" t="e">
        <f>INDEX(Picks!F:F,MATCH(B13,Picks!E:E,0))</f>
        <v>#N/A</v>
      </c>
      <c r="E13" s="361" t="e">
        <f>INDEX(Picks!G:G,MATCH(B13,Picks!E:E,0))</f>
        <v>#N/A</v>
      </c>
      <c r="F13" s="361" t="e">
        <f>+((E13-1)*G13)</f>
        <v>#N/A</v>
      </c>
      <c r="G13" s="146">
        <v>1</v>
      </c>
      <c r="H13" s="80"/>
      <c r="I13" s="80"/>
      <c r="J13" s="80"/>
      <c r="K13" s="80"/>
      <c r="L13" s="80"/>
      <c r="M13" s="80"/>
      <c r="N13" s="80"/>
      <c r="O13" s="357"/>
      <c r="P13" s="357"/>
      <c r="Q13" s="357"/>
      <c r="R13" s="357"/>
      <c r="S13" s="357"/>
      <c r="V13" t="s">
        <v>293</v>
      </c>
      <c r="W13" t="s">
        <v>407</v>
      </c>
    </row>
    <row r="14" spans="1:23" ht="15.75">
      <c r="A14" s="76"/>
      <c r="B14" s="89" t="str">
        <f>game2</f>
        <v>Sunderland</v>
      </c>
      <c r="C14" s="153" t="s">
        <v>176</v>
      </c>
      <c r="D14" s="361" t="e">
        <f>INDEX(Picks!F:F,MATCH(B14,Picks!E:E,0))</f>
        <v>#N/A</v>
      </c>
      <c r="E14" s="361" t="e">
        <f>INDEX(Picks!G:G,MATCH(B14,Picks!E:E,0))</f>
        <v>#N/A</v>
      </c>
      <c r="F14" s="361" t="e">
        <f>+((E14-1)*G14)</f>
        <v>#N/A</v>
      </c>
      <c r="G14" s="146">
        <v>1</v>
      </c>
      <c r="H14" s="80"/>
      <c r="I14" s="80"/>
      <c r="J14" s="80"/>
      <c r="K14" s="80"/>
      <c r="L14" s="5" t="s">
        <v>13</v>
      </c>
      <c r="M14" s="5" t="s">
        <v>28</v>
      </c>
      <c r="N14" s="362"/>
      <c r="O14" s="363" t="s">
        <v>18</v>
      </c>
      <c r="P14" s="366"/>
      <c r="Q14" s="357"/>
      <c r="R14" s="357"/>
      <c r="S14" s="357"/>
      <c r="V14" t="s">
        <v>293</v>
      </c>
      <c r="W14" t="s">
        <v>337</v>
      </c>
    </row>
    <row r="15" spans="1:23" ht="16.149999999999999" thickBot="1">
      <c r="A15" s="76"/>
      <c r="B15" s="89" t="str">
        <f>game3</f>
        <v>Sheff U</v>
      </c>
      <c r="C15" s="157" t="s">
        <v>175</v>
      </c>
      <c r="D15" s="361" t="e">
        <f>INDEX(Picks!F:F,MATCH(B15,Picks!E:E,0))</f>
        <v>#N/A</v>
      </c>
      <c r="E15" s="361" t="e">
        <f>INDEX(Picks!G:G,MATCH(B15,Picks!E:E,0))</f>
        <v>#N/A</v>
      </c>
      <c r="F15" s="361" t="e">
        <f>+((E15-1)*G15)</f>
        <v>#N/A</v>
      </c>
      <c r="G15" s="146">
        <v>0</v>
      </c>
      <c r="H15" s="80"/>
      <c r="I15" s="80"/>
      <c r="J15" s="80"/>
      <c r="K15" s="80"/>
      <c r="L15" s="6">
        <f>SUM(G13:G15)</f>
        <v>2</v>
      </c>
      <c r="M15" s="7" t="e">
        <f>SUM(L12:S12)-7</f>
        <v>#N/A</v>
      </c>
      <c r="N15" s="364"/>
      <c r="O15" s="365" t="e">
        <f>$M$3+M15</f>
        <v>#N/A</v>
      </c>
      <c r="P15" s="366"/>
      <c r="Q15" s="357"/>
      <c r="R15" s="357"/>
      <c r="S15" s="357"/>
      <c r="V15" t="s">
        <v>293</v>
      </c>
      <c r="W15" t="s">
        <v>406</v>
      </c>
    </row>
    <row r="16" spans="1:23">
      <c r="A16" s="76"/>
      <c r="B16" s="76"/>
      <c r="C16" s="76"/>
      <c r="D16" s="80"/>
      <c r="E16" s="80"/>
      <c r="F16" s="80"/>
      <c r="G16" s="80"/>
      <c r="H16" s="80"/>
      <c r="I16" s="76"/>
      <c r="J16" s="76"/>
      <c r="K16" s="80"/>
      <c r="L16" s="80"/>
      <c r="M16" s="80"/>
      <c r="N16" s="80"/>
      <c r="O16" s="357"/>
      <c r="P16" s="357"/>
      <c r="Q16" s="357"/>
      <c r="R16" s="357"/>
      <c r="S16" s="357"/>
      <c r="V16" t="s">
        <v>270</v>
      </c>
      <c r="W16" t="s">
        <v>410</v>
      </c>
    </row>
    <row r="17" spans="1:23">
      <c r="A17" s="76"/>
      <c r="B17" s="76"/>
      <c r="C17" s="76"/>
      <c r="D17" s="80" t="s">
        <v>177</v>
      </c>
      <c r="E17" s="80"/>
      <c r="F17" s="80"/>
      <c r="G17" s="80"/>
      <c r="H17" s="80"/>
      <c r="I17" s="76"/>
      <c r="J17" s="76"/>
      <c r="K17" s="80"/>
      <c r="L17" s="357"/>
      <c r="M17" s="357"/>
      <c r="N17" s="357"/>
      <c r="O17" s="357"/>
      <c r="P17" s="357"/>
      <c r="Q17" s="357"/>
      <c r="R17" s="357"/>
      <c r="S17" s="357"/>
      <c r="V17" t="s">
        <v>270</v>
      </c>
      <c r="W17" t="s">
        <v>165</v>
      </c>
    </row>
    <row r="18" spans="1:23">
      <c r="A18" s="76"/>
      <c r="B18" s="76"/>
      <c r="C18" s="150" t="s">
        <v>25</v>
      </c>
      <c r="D18" s="370" t="s">
        <v>345</v>
      </c>
      <c r="E18" s="150" t="s">
        <v>173</v>
      </c>
      <c r="F18" s="150" t="s">
        <v>173</v>
      </c>
      <c r="G18" s="150" t="s">
        <v>25</v>
      </c>
      <c r="H18" s="80"/>
      <c r="I18" s="80"/>
      <c r="J18" s="80"/>
      <c r="K18" s="80"/>
      <c r="L18" s="357" t="s">
        <v>166</v>
      </c>
      <c r="M18" s="357" t="s">
        <v>167</v>
      </c>
      <c r="N18" s="357"/>
      <c r="O18" s="357" t="s">
        <v>168</v>
      </c>
      <c r="P18" s="357" t="s">
        <v>169</v>
      </c>
      <c r="Q18" s="357" t="s">
        <v>170</v>
      </c>
      <c r="R18" s="357" t="s">
        <v>171</v>
      </c>
      <c r="S18" s="357" t="s">
        <v>172</v>
      </c>
      <c r="V18" t="s">
        <v>270</v>
      </c>
      <c r="W18" t="s">
        <v>406</v>
      </c>
    </row>
    <row r="19" spans="1:23">
      <c r="A19" s="76"/>
      <c r="B19" s="76"/>
      <c r="C19" s="151" t="s">
        <v>174</v>
      </c>
      <c r="D19" s="360" t="s">
        <v>153</v>
      </c>
      <c r="E19" s="152" t="s">
        <v>27</v>
      </c>
      <c r="F19" s="152" t="s">
        <v>27</v>
      </c>
      <c r="G19" s="152" t="s">
        <v>13</v>
      </c>
      <c r="H19" s="80"/>
      <c r="I19" s="147" t="e">
        <f>F20</f>
        <v>#N/A</v>
      </c>
      <c r="J19" s="147" t="e">
        <f>F21</f>
        <v>#N/A</v>
      </c>
      <c r="K19" s="147" t="e">
        <f>F22</f>
        <v>#N/A</v>
      </c>
      <c r="L19" s="359" t="e">
        <f>IF(I19=0,0,1)+I19</f>
        <v>#N/A</v>
      </c>
      <c r="M19" s="359" t="e">
        <f>IF(J19=0,0,1)+J19</f>
        <v>#N/A</v>
      </c>
      <c r="N19" s="359"/>
      <c r="O19" s="359" t="e">
        <f>IF(K19=0,0,1)+K19</f>
        <v>#N/A</v>
      </c>
      <c r="P19" s="359" t="e">
        <f>IF(J19=0,0,(L19*J19)+L19)</f>
        <v>#N/A</v>
      </c>
      <c r="Q19" s="359" t="e">
        <f>IF(K19=0,0,(M19*K19)+M19)</f>
        <v>#N/A</v>
      </c>
      <c r="R19" s="359" t="e">
        <f>IF(I19=0,0,(O19*I19)+O19)</f>
        <v>#N/A</v>
      </c>
      <c r="S19" s="359" t="e">
        <f>IF(K19=0,0,(P19*K19)+P19)</f>
        <v>#N/A</v>
      </c>
    </row>
    <row r="20" spans="1:23" ht="16.149999999999999" thickBot="1">
      <c r="A20" s="76"/>
      <c r="B20" s="89" t="str">
        <f>game1</f>
        <v>Spurs</v>
      </c>
      <c r="C20" s="157" t="s">
        <v>175</v>
      </c>
      <c r="D20" s="361" t="e">
        <f>INDEX(Picks!F:F,MATCH(B20,Picks!E:E,0))</f>
        <v>#N/A</v>
      </c>
      <c r="E20" s="361" t="e">
        <f>INDEX(Picks!G:G,MATCH(B20,Picks!E:E,0))</f>
        <v>#N/A</v>
      </c>
      <c r="F20" s="361" t="e">
        <f>+((E20-1)*G20)</f>
        <v>#N/A</v>
      </c>
      <c r="G20" s="146">
        <v>0</v>
      </c>
      <c r="H20" s="80"/>
      <c r="I20" s="80"/>
      <c r="J20" s="80"/>
      <c r="K20" s="80"/>
      <c r="L20" s="80"/>
      <c r="M20" s="80"/>
      <c r="N20" s="80"/>
      <c r="O20" s="357"/>
      <c r="P20" s="357"/>
      <c r="Q20" s="357"/>
      <c r="R20" s="357"/>
      <c r="S20" s="357"/>
    </row>
    <row r="21" spans="1:23" ht="15.75">
      <c r="A21" s="76"/>
      <c r="B21" s="89" t="str">
        <f>game2</f>
        <v>Sunderland</v>
      </c>
      <c r="C21" s="153" t="s">
        <v>176</v>
      </c>
      <c r="D21" s="361" t="e">
        <f>INDEX(Picks!F:F,MATCH(B21,Picks!E:E,0))</f>
        <v>#N/A</v>
      </c>
      <c r="E21" s="361" t="e">
        <f>INDEX(Picks!G:G,MATCH(B21,Picks!E:E,0))</f>
        <v>#N/A</v>
      </c>
      <c r="F21" s="361" t="e">
        <f>+((E21-1)*G21)</f>
        <v>#N/A</v>
      </c>
      <c r="G21" s="146">
        <v>1</v>
      </c>
      <c r="H21" s="80"/>
      <c r="I21" s="80"/>
      <c r="J21" s="80"/>
      <c r="K21" s="80"/>
      <c r="L21" s="5" t="s">
        <v>13</v>
      </c>
      <c r="M21" s="5" t="s">
        <v>28</v>
      </c>
      <c r="N21" s="362"/>
      <c r="O21" s="363" t="s">
        <v>18</v>
      </c>
      <c r="P21" s="366"/>
      <c r="Q21" s="357"/>
      <c r="R21" s="357"/>
      <c r="S21" s="357"/>
    </row>
    <row r="22" spans="1:23" ht="16.149999999999999" thickBot="1">
      <c r="A22" s="76"/>
      <c r="B22" s="89" t="str">
        <f>game3</f>
        <v>Sheff U</v>
      </c>
      <c r="C22" s="153" t="s">
        <v>176</v>
      </c>
      <c r="D22" s="361" t="e">
        <f>INDEX(Picks!F:F,MATCH(B22,Picks!E:E,0))</f>
        <v>#N/A</v>
      </c>
      <c r="E22" s="361" t="e">
        <f>INDEX(Picks!G:G,MATCH(B22,Picks!E:E,0))</f>
        <v>#N/A</v>
      </c>
      <c r="F22" s="361" t="e">
        <f>+((E22-1)*G22)</f>
        <v>#N/A</v>
      </c>
      <c r="G22" s="146">
        <v>1</v>
      </c>
      <c r="H22" s="80"/>
      <c r="I22" s="80"/>
      <c r="J22" s="80"/>
      <c r="K22" s="80"/>
      <c r="L22" s="6">
        <f>SUM(G20:G22)</f>
        <v>2</v>
      </c>
      <c r="M22" s="7" t="e">
        <f>SUM(L19:S19)-7</f>
        <v>#N/A</v>
      </c>
      <c r="N22" s="364"/>
      <c r="O22" s="365" t="e">
        <f>$M$3+M22</f>
        <v>#N/A</v>
      </c>
      <c r="P22" s="366"/>
      <c r="Q22" s="357"/>
      <c r="R22" s="357"/>
      <c r="S22" s="357"/>
    </row>
    <row r="23" spans="1:23" ht="13.15">
      <c r="A23" s="76"/>
      <c r="B23" s="76"/>
      <c r="C23" s="76"/>
      <c r="D23" s="80"/>
      <c r="E23" s="80"/>
      <c r="F23" s="80"/>
      <c r="G23" s="80"/>
      <c r="H23" s="80"/>
      <c r="I23" s="76"/>
      <c r="J23" s="76"/>
      <c r="K23" s="80"/>
      <c r="L23" s="155"/>
      <c r="M23" s="156"/>
      <c r="N23" s="156"/>
      <c r="O23" s="366"/>
      <c r="P23" s="366"/>
      <c r="Q23" s="357"/>
      <c r="R23" s="357"/>
      <c r="S23" s="357"/>
    </row>
    <row r="24" spans="1:23" ht="13.15">
      <c r="A24" s="76"/>
      <c r="B24" s="76"/>
      <c r="C24" s="76"/>
      <c r="D24" s="80"/>
      <c r="E24" s="80"/>
      <c r="F24" s="80"/>
      <c r="G24" s="80"/>
      <c r="H24" s="80"/>
      <c r="I24" s="76"/>
      <c r="J24" s="76"/>
      <c r="K24" s="80"/>
      <c r="L24" s="367"/>
      <c r="M24" s="368"/>
      <c r="N24" s="368"/>
      <c r="O24" s="366"/>
      <c r="P24" s="366"/>
      <c r="Q24" s="357"/>
      <c r="R24" s="357"/>
      <c r="S24" s="357"/>
    </row>
    <row r="25" spans="1:23">
      <c r="A25" s="76"/>
      <c r="B25" s="76"/>
      <c r="C25" s="150" t="s">
        <v>25</v>
      </c>
      <c r="D25" s="370" t="s">
        <v>345</v>
      </c>
      <c r="E25" s="150" t="s">
        <v>173</v>
      </c>
      <c r="F25" s="150" t="s">
        <v>173</v>
      </c>
      <c r="G25" s="150" t="s">
        <v>25</v>
      </c>
      <c r="H25" s="80"/>
      <c r="I25" s="80"/>
      <c r="J25" s="80"/>
      <c r="K25" s="80"/>
      <c r="L25" s="357" t="s">
        <v>166</v>
      </c>
      <c r="M25" s="357" t="s">
        <v>167</v>
      </c>
      <c r="N25" s="357"/>
      <c r="O25" s="357" t="s">
        <v>168</v>
      </c>
      <c r="P25" s="357" t="s">
        <v>169</v>
      </c>
      <c r="Q25" s="357" t="s">
        <v>170</v>
      </c>
      <c r="R25" s="357" t="s">
        <v>171</v>
      </c>
      <c r="S25" s="357" t="s">
        <v>172</v>
      </c>
    </row>
    <row r="26" spans="1:23">
      <c r="A26" s="76"/>
      <c r="B26" s="76"/>
      <c r="C26" s="151" t="s">
        <v>174</v>
      </c>
      <c r="D26" s="360" t="s">
        <v>153</v>
      </c>
      <c r="E26" s="152" t="s">
        <v>27</v>
      </c>
      <c r="F26" s="152" t="s">
        <v>27</v>
      </c>
      <c r="G26" s="152" t="s">
        <v>13</v>
      </c>
      <c r="H26" s="80"/>
      <c r="I26" s="147" t="e">
        <f>F27</f>
        <v>#N/A</v>
      </c>
      <c r="J26" s="147" t="e">
        <f>F28</f>
        <v>#N/A</v>
      </c>
      <c r="K26" s="147" t="e">
        <f>F29</f>
        <v>#N/A</v>
      </c>
      <c r="L26" s="359" t="e">
        <f>IF(I26=0,0,1)+I26</f>
        <v>#N/A</v>
      </c>
      <c r="M26" s="359" t="e">
        <f>IF(J26=0,0,1)+J26</f>
        <v>#N/A</v>
      </c>
      <c r="N26" s="359"/>
      <c r="O26" s="359" t="e">
        <f>IF(K26=0,0,1)+K26</f>
        <v>#N/A</v>
      </c>
      <c r="P26" s="359" t="e">
        <f>IF(J26=0,0,(L26*J26)+L26)</f>
        <v>#N/A</v>
      </c>
      <c r="Q26" s="359" t="e">
        <f>IF(K26=0,0,(M26*K26)+M26)</f>
        <v>#N/A</v>
      </c>
      <c r="R26" s="359" t="e">
        <f>IF(I26=0,0,(O26*I26)+O26)</f>
        <v>#N/A</v>
      </c>
      <c r="S26" s="359" t="e">
        <f>IF(K26=0,0,(P26*K26)+P26)</f>
        <v>#N/A</v>
      </c>
    </row>
    <row r="27" spans="1:23" ht="16.149999999999999" thickBot="1">
      <c r="A27" s="76"/>
      <c r="B27" s="89" t="str">
        <f>game1</f>
        <v>Spurs</v>
      </c>
      <c r="C27" s="153" t="s">
        <v>176</v>
      </c>
      <c r="D27" s="361" t="e">
        <f>INDEX(Picks!F:F,MATCH(B27,Picks!E:E,0))</f>
        <v>#N/A</v>
      </c>
      <c r="E27" s="361" t="e">
        <f>INDEX(Picks!G:G,MATCH(B27,Picks!E:E,0))</f>
        <v>#N/A</v>
      </c>
      <c r="F27" s="361" t="e">
        <f>+((E27-1)*G27)</f>
        <v>#N/A</v>
      </c>
      <c r="G27" s="146">
        <v>1</v>
      </c>
      <c r="H27" s="80"/>
      <c r="I27" s="80"/>
      <c r="J27" s="80"/>
      <c r="K27" s="80"/>
      <c r="L27" s="357"/>
      <c r="M27" s="357"/>
      <c r="N27" s="357"/>
      <c r="O27" s="357"/>
      <c r="P27" s="357"/>
      <c r="Q27" s="357"/>
      <c r="R27" s="357"/>
      <c r="S27" s="357"/>
    </row>
    <row r="28" spans="1:23" ht="15.75">
      <c r="A28" s="76"/>
      <c r="B28" s="89" t="str">
        <f>game2</f>
        <v>Sunderland</v>
      </c>
      <c r="C28" s="157" t="s">
        <v>175</v>
      </c>
      <c r="D28" s="361" t="e">
        <f>INDEX(Picks!F:F,MATCH(B28,Picks!E:E,0))</f>
        <v>#N/A</v>
      </c>
      <c r="E28" s="361" t="e">
        <f>INDEX(Picks!G:G,MATCH(B28,Picks!E:E,0))</f>
        <v>#N/A</v>
      </c>
      <c r="F28" s="361" t="e">
        <f>+((E28-1)*G28)</f>
        <v>#N/A</v>
      </c>
      <c r="G28" s="146">
        <v>0</v>
      </c>
      <c r="H28" s="80"/>
      <c r="I28" s="80"/>
      <c r="J28" s="80"/>
      <c r="K28" s="80"/>
      <c r="L28" s="5" t="s">
        <v>13</v>
      </c>
      <c r="M28" s="5" t="s">
        <v>28</v>
      </c>
      <c r="N28" s="362"/>
      <c r="O28" s="363" t="s">
        <v>18</v>
      </c>
      <c r="P28" s="366"/>
      <c r="Q28" s="357"/>
      <c r="R28" s="357"/>
      <c r="S28" s="357"/>
    </row>
    <row r="29" spans="1:23" ht="16.149999999999999" thickBot="1">
      <c r="A29" s="76"/>
      <c r="B29" s="89" t="str">
        <f>game3</f>
        <v>Sheff U</v>
      </c>
      <c r="C29" s="153" t="s">
        <v>176</v>
      </c>
      <c r="D29" s="361" t="e">
        <f>INDEX(Picks!F:F,MATCH(B29,Picks!E:E,0))</f>
        <v>#N/A</v>
      </c>
      <c r="E29" s="361" t="e">
        <f>INDEX(Picks!G:G,MATCH(B29,Picks!E:E,0))</f>
        <v>#N/A</v>
      </c>
      <c r="F29" s="361" t="e">
        <f>+((E29-1)*G29)</f>
        <v>#N/A</v>
      </c>
      <c r="G29" s="146">
        <v>1</v>
      </c>
      <c r="H29" s="80"/>
      <c r="I29" s="80"/>
      <c r="J29" s="80"/>
      <c r="K29" s="80"/>
      <c r="L29" s="6">
        <f>SUM(G27:G29)</f>
        <v>2</v>
      </c>
      <c r="M29" s="7" t="e">
        <f>SUM(L26:S26)-7</f>
        <v>#N/A</v>
      </c>
      <c r="N29" s="364"/>
      <c r="O29" s="365" t="e">
        <f>$M$3+M29</f>
        <v>#N/A</v>
      </c>
      <c r="P29" s="366"/>
      <c r="Q29" s="357"/>
      <c r="R29" s="357"/>
      <c r="S29" s="357"/>
    </row>
    <row r="30" spans="1:23" ht="13.15">
      <c r="A30" s="76"/>
      <c r="B30" s="76"/>
      <c r="C30" s="76"/>
      <c r="D30" s="80"/>
      <c r="E30" s="80"/>
      <c r="F30" s="80"/>
      <c r="G30" s="80"/>
      <c r="H30" s="80"/>
      <c r="I30" s="76"/>
      <c r="J30" s="76"/>
      <c r="K30" s="80"/>
      <c r="L30" s="155"/>
      <c r="M30" s="156"/>
      <c r="N30" s="156"/>
      <c r="O30" s="366"/>
      <c r="P30" s="366"/>
      <c r="Q30" s="357"/>
      <c r="R30" s="357"/>
      <c r="S30" s="357"/>
    </row>
    <row r="31" spans="1:23">
      <c r="A31" s="76"/>
      <c r="B31" s="76"/>
      <c r="C31" s="76"/>
      <c r="D31" s="80"/>
      <c r="E31" s="80"/>
      <c r="F31" s="80"/>
      <c r="G31" s="80"/>
      <c r="H31" s="80"/>
      <c r="I31" s="76"/>
      <c r="J31" s="76"/>
      <c r="K31" s="76"/>
      <c r="L31" s="366"/>
      <c r="M31" s="366"/>
      <c r="N31" s="366"/>
      <c r="O31" s="366"/>
      <c r="P31" s="366"/>
      <c r="Q31" s="366"/>
      <c r="R31" s="366"/>
      <c r="S31" s="366"/>
    </row>
    <row r="32" spans="1:23">
      <c r="A32" s="76"/>
      <c r="B32" s="76"/>
      <c r="C32" s="150" t="s">
        <v>25</v>
      </c>
      <c r="D32" s="370" t="s">
        <v>345</v>
      </c>
      <c r="E32" s="150" t="s">
        <v>173</v>
      </c>
      <c r="F32" s="150" t="s">
        <v>173</v>
      </c>
      <c r="G32" s="150" t="s">
        <v>25</v>
      </c>
      <c r="H32" s="80"/>
      <c r="I32" s="80"/>
      <c r="J32" s="80"/>
      <c r="K32" s="80"/>
      <c r="L32" s="357" t="s">
        <v>166</v>
      </c>
      <c r="M32" s="357" t="s">
        <v>167</v>
      </c>
      <c r="N32" s="357"/>
      <c r="O32" s="357" t="s">
        <v>168</v>
      </c>
      <c r="P32" s="357" t="s">
        <v>169</v>
      </c>
      <c r="Q32" s="357" t="s">
        <v>170</v>
      </c>
      <c r="R32" s="357" t="s">
        <v>171</v>
      </c>
      <c r="S32" s="357" t="s">
        <v>172</v>
      </c>
    </row>
    <row r="33" spans="1:19">
      <c r="A33" s="76"/>
      <c r="B33" s="76"/>
      <c r="C33" s="151" t="s">
        <v>174</v>
      </c>
      <c r="D33" s="360" t="s">
        <v>153</v>
      </c>
      <c r="E33" s="152" t="s">
        <v>27</v>
      </c>
      <c r="F33" s="152" t="s">
        <v>27</v>
      </c>
      <c r="G33" s="152" t="s">
        <v>13</v>
      </c>
      <c r="H33" s="80"/>
      <c r="I33" s="147" t="e">
        <f>F34</f>
        <v>#N/A</v>
      </c>
      <c r="J33" s="147" t="e">
        <f>F35</f>
        <v>#N/A</v>
      </c>
      <c r="K33" s="147" t="e">
        <f>F36</f>
        <v>#N/A</v>
      </c>
      <c r="L33" s="359" t="e">
        <f>IF(I33=0,0,1)+I33</f>
        <v>#N/A</v>
      </c>
      <c r="M33" s="359" t="e">
        <f>IF(J33=0,0,1)+J33</f>
        <v>#N/A</v>
      </c>
      <c r="N33" s="359"/>
      <c r="O33" s="359" t="e">
        <f>IF(K33=0,0,1)+K33</f>
        <v>#N/A</v>
      </c>
      <c r="P33" s="359" t="e">
        <f>IF(J33=0,0,(L33*J33)+L33)</f>
        <v>#N/A</v>
      </c>
      <c r="Q33" s="359" t="e">
        <f>IF(K33=0,0,(M33*K33)+M33)</f>
        <v>#N/A</v>
      </c>
      <c r="R33" s="359" t="e">
        <f>IF(I33=0,0,(O33*I33)+O33)</f>
        <v>#N/A</v>
      </c>
      <c r="S33" s="359" t="e">
        <f>IF(K33=0,0,(P33*K33)+P33)</f>
        <v>#N/A</v>
      </c>
    </row>
    <row r="34" spans="1:19" ht="16.149999999999999" thickBot="1">
      <c r="A34" s="76"/>
      <c r="B34" s="89" t="str">
        <f>game1</f>
        <v>Spurs</v>
      </c>
      <c r="C34" s="153" t="s">
        <v>176</v>
      </c>
      <c r="D34" s="361" t="e">
        <f>INDEX(Picks!F:F,MATCH(B34,Picks!E:E,0))</f>
        <v>#N/A</v>
      </c>
      <c r="E34" s="361" t="e">
        <f>INDEX(Picks!G:G,MATCH(B34,Picks!E:E,0))</f>
        <v>#N/A</v>
      </c>
      <c r="F34" s="361" t="e">
        <f>+((E34-1)*G34)</f>
        <v>#N/A</v>
      </c>
      <c r="G34" s="146">
        <v>1</v>
      </c>
      <c r="H34" s="80"/>
      <c r="I34" s="80"/>
      <c r="J34" s="80"/>
      <c r="K34" s="80"/>
      <c r="L34" s="80"/>
      <c r="M34" s="80"/>
      <c r="N34" s="80"/>
      <c r="O34" s="357"/>
      <c r="P34" s="357"/>
      <c r="Q34" s="357"/>
      <c r="R34" s="357"/>
      <c r="S34" s="357"/>
    </row>
    <row r="35" spans="1:19" ht="15.75">
      <c r="A35" s="76"/>
      <c r="B35" s="89" t="str">
        <f>game2</f>
        <v>Sunderland</v>
      </c>
      <c r="C35" s="157" t="s">
        <v>175</v>
      </c>
      <c r="D35" s="361" t="e">
        <f>INDEX(Picks!F:F,MATCH(B35,Picks!E:E,0))</f>
        <v>#N/A</v>
      </c>
      <c r="E35" s="361" t="e">
        <f>INDEX(Picks!G:G,MATCH(B35,Picks!E:E,0))</f>
        <v>#N/A</v>
      </c>
      <c r="F35" s="361" t="e">
        <f>+((E35-1)*G35)</f>
        <v>#N/A</v>
      </c>
      <c r="G35" s="146">
        <v>0</v>
      </c>
      <c r="H35" s="80"/>
      <c r="I35" s="80"/>
      <c r="J35" s="80"/>
      <c r="K35" s="80"/>
      <c r="L35" s="5" t="s">
        <v>13</v>
      </c>
      <c r="M35" s="5" t="s">
        <v>28</v>
      </c>
      <c r="N35" s="362"/>
      <c r="O35" s="363" t="s">
        <v>18</v>
      </c>
      <c r="P35" s="366"/>
      <c r="Q35" s="357"/>
      <c r="R35" s="357"/>
      <c r="S35" s="357"/>
    </row>
    <row r="36" spans="1:19" ht="16.149999999999999" thickBot="1">
      <c r="A36" s="76"/>
      <c r="B36" s="89" t="str">
        <f>game3</f>
        <v>Sheff U</v>
      </c>
      <c r="C36" s="157" t="s">
        <v>175</v>
      </c>
      <c r="D36" s="361" t="e">
        <f>INDEX(Picks!F:F,MATCH(B36,Picks!E:E,0))</f>
        <v>#N/A</v>
      </c>
      <c r="E36" s="361" t="e">
        <f>INDEX(Picks!G:G,MATCH(B36,Picks!E:E,0))</f>
        <v>#N/A</v>
      </c>
      <c r="F36" s="361" t="e">
        <f>+((E36-1)*G36)</f>
        <v>#N/A</v>
      </c>
      <c r="G36" s="146">
        <v>0</v>
      </c>
      <c r="H36" s="80"/>
      <c r="I36" s="80"/>
      <c r="J36" s="80"/>
      <c r="K36" s="80"/>
      <c r="L36" s="6">
        <f>SUM(G34:G36)</f>
        <v>1</v>
      </c>
      <c r="M36" s="7" t="e">
        <f>SUM(L33:S33)-7</f>
        <v>#N/A</v>
      </c>
      <c r="N36" s="364"/>
      <c r="O36" s="365" t="e">
        <f>$M$3+M36</f>
        <v>#N/A</v>
      </c>
      <c r="P36" s="366"/>
      <c r="Q36" s="357"/>
      <c r="R36" s="357"/>
      <c r="S36" s="357"/>
    </row>
    <row r="37" spans="1:19">
      <c r="A37" s="76"/>
      <c r="D37" s="1"/>
      <c r="E37" s="1"/>
      <c r="F37" s="1"/>
      <c r="G37" s="1"/>
      <c r="H37" s="80"/>
      <c r="I37" s="76"/>
      <c r="J37" s="76"/>
      <c r="K37" s="76"/>
      <c r="N37" s="76"/>
      <c r="O37" s="369"/>
      <c r="P37" s="369"/>
      <c r="Q37" s="369"/>
      <c r="R37" s="369"/>
      <c r="S37" s="369"/>
    </row>
    <row r="38" spans="1:19">
      <c r="A38" s="76"/>
      <c r="D38" s="1"/>
      <c r="E38" s="1"/>
      <c r="F38" s="1"/>
      <c r="G38" s="1"/>
      <c r="H38" s="1"/>
      <c r="I38" s="76"/>
      <c r="J38" s="76"/>
      <c r="K38" s="76"/>
      <c r="L38" s="366"/>
      <c r="M38" s="366"/>
      <c r="N38" s="366"/>
      <c r="O38" s="366"/>
      <c r="P38" s="366"/>
      <c r="Q38" s="366"/>
      <c r="R38" s="366"/>
      <c r="S38" s="366"/>
    </row>
    <row r="39" spans="1:19">
      <c r="A39" s="76"/>
      <c r="B39" s="76"/>
      <c r="C39" s="150" t="s">
        <v>25</v>
      </c>
      <c r="D39" s="370" t="s">
        <v>345</v>
      </c>
      <c r="E39" s="150" t="s">
        <v>173</v>
      </c>
      <c r="F39" s="150" t="s">
        <v>173</v>
      </c>
      <c r="G39" s="150" t="s">
        <v>25</v>
      </c>
      <c r="H39" s="80"/>
      <c r="I39" s="80"/>
      <c r="J39" s="80"/>
      <c r="K39" s="80"/>
      <c r="L39" s="357" t="s">
        <v>166</v>
      </c>
      <c r="M39" s="357" t="s">
        <v>167</v>
      </c>
      <c r="N39" s="357"/>
      <c r="O39" s="357" t="s">
        <v>168</v>
      </c>
      <c r="P39" s="357" t="s">
        <v>169</v>
      </c>
      <c r="Q39" s="357" t="s">
        <v>170</v>
      </c>
      <c r="R39" s="357" t="s">
        <v>171</v>
      </c>
      <c r="S39" s="357" t="s">
        <v>172</v>
      </c>
    </row>
    <row r="40" spans="1:19">
      <c r="A40" s="76"/>
      <c r="B40" s="76"/>
      <c r="C40" s="151" t="s">
        <v>174</v>
      </c>
      <c r="D40" s="360" t="s">
        <v>153</v>
      </c>
      <c r="E40" s="152" t="s">
        <v>27</v>
      </c>
      <c r="F40" s="152" t="s">
        <v>27</v>
      </c>
      <c r="G40" s="152" t="s">
        <v>13</v>
      </c>
      <c r="H40" s="80"/>
      <c r="I40" s="147" t="e">
        <f>F41</f>
        <v>#N/A</v>
      </c>
      <c r="J40" s="147" t="e">
        <f>F42</f>
        <v>#N/A</v>
      </c>
      <c r="K40" s="147" t="e">
        <f>F43</f>
        <v>#N/A</v>
      </c>
      <c r="L40" s="359" t="e">
        <f>IF(I40=0,0,1)+I40</f>
        <v>#N/A</v>
      </c>
      <c r="M40" s="359" t="e">
        <f>IF(J40=0,0,1)+J40</f>
        <v>#N/A</v>
      </c>
      <c r="N40" s="359"/>
      <c r="O40" s="359" t="e">
        <f>IF(K40=0,0,1)+K40</f>
        <v>#N/A</v>
      </c>
      <c r="P40" s="359" t="e">
        <f>IF(J40=0,0,(L40*J40)+L40)</f>
        <v>#N/A</v>
      </c>
      <c r="Q40" s="359" t="e">
        <f>IF(K40=0,0,(M40*K40)+M40)</f>
        <v>#N/A</v>
      </c>
      <c r="R40" s="359" t="e">
        <f>IF(I40=0,0,(O40*I40)+O40)</f>
        <v>#N/A</v>
      </c>
      <c r="S40" s="359" t="e">
        <f>IF(K40=0,0,(P40*K40)+P40)</f>
        <v>#N/A</v>
      </c>
    </row>
    <row r="41" spans="1:19" ht="16.149999999999999" thickBot="1">
      <c r="A41" s="76"/>
      <c r="B41" s="89" t="str">
        <f>game1</f>
        <v>Spurs</v>
      </c>
      <c r="C41" s="157" t="s">
        <v>175</v>
      </c>
      <c r="D41" s="361" t="e">
        <f>INDEX(Picks!F:F,MATCH(B41,Picks!E:E,0))</f>
        <v>#N/A</v>
      </c>
      <c r="E41" s="361" t="e">
        <f>INDEX(Picks!G:G,MATCH(B41,Picks!E:E,0))</f>
        <v>#N/A</v>
      </c>
      <c r="F41" s="361" t="e">
        <f>+((E41-1)*G41)</f>
        <v>#N/A</v>
      </c>
      <c r="G41" s="146">
        <v>0</v>
      </c>
      <c r="H41" s="80"/>
      <c r="I41" s="80"/>
      <c r="J41" s="80"/>
      <c r="K41" s="80"/>
      <c r="L41" s="80"/>
      <c r="M41" s="80"/>
      <c r="N41" s="80"/>
      <c r="O41" s="357"/>
      <c r="P41" s="357"/>
      <c r="Q41" s="357"/>
      <c r="R41" s="357"/>
      <c r="S41" s="357"/>
    </row>
    <row r="42" spans="1:19" ht="15.75">
      <c r="A42" s="76"/>
      <c r="B42" s="89" t="str">
        <f>game2</f>
        <v>Sunderland</v>
      </c>
      <c r="C42" s="153" t="s">
        <v>176</v>
      </c>
      <c r="D42" s="361" t="e">
        <f>INDEX(Picks!F:F,MATCH(B42,Picks!E:E,0))</f>
        <v>#N/A</v>
      </c>
      <c r="E42" s="361" t="e">
        <f>INDEX(Picks!G:G,MATCH(B42,Picks!E:E,0))</f>
        <v>#N/A</v>
      </c>
      <c r="F42" s="361" t="e">
        <f>+((E42-1)*G42)</f>
        <v>#N/A</v>
      </c>
      <c r="G42" s="146">
        <v>1</v>
      </c>
      <c r="H42" s="80"/>
      <c r="I42" s="80"/>
      <c r="J42" s="80"/>
      <c r="K42" s="80"/>
      <c r="L42" s="5" t="s">
        <v>13</v>
      </c>
      <c r="M42" s="5" t="s">
        <v>28</v>
      </c>
      <c r="N42" s="362"/>
      <c r="O42" s="363" t="s">
        <v>18</v>
      </c>
      <c r="P42" s="366"/>
      <c r="Q42" s="357"/>
      <c r="R42" s="357"/>
      <c r="S42" s="357"/>
    </row>
    <row r="43" spans="1:19" ht="16.149999999999999" thickBot="1">
      <c r="A43" s="76"/>
      <c r="B43" s="89" t="str">
        <f>game3</f>
        <v>Sheff U</v>
      </c>
      <c r="C43" s="157" t="s">
        <v>175</v>
      </c>
      <c r="D43" s="361" t="e">
        <f>INDEX(Picks!F:F,MATCH(B43,Picks!E:E,0))</f>
        <v>#N/A</v>
      </c>
      <c r="E43" s="361" t="e">
        <f>INDEX(Picks!G:G,MATCH(B43,Picks!E:E,0))</f>
        <v>#N/A</v>
      </c>
      <c r="F43" s="361" t="e">
        <f>+((E43-1)*G43)</f>
        <v>#N/A</v>
      </c>
      <c r="G43" s="146">
        <v>0</v>
      </c>
      <c r="H43" s="80"/>
      <c r="I43" s="80"/>
      <c r="J43" s="80"/>
      <c r="K43" s="80"/>
      <c r="L43" s="6">
        <f>SUM(G41:G43)</f>
        <v>1</v>
      </c>
      <c r="M43" s="7" t="e">
        <f>SUM(L40:S40)-7</f>
        <v>#N/A</v>
      </c>
      <c r="N43" s="364"/>
      <c r="O43" s="365" t="e">
        <f>$M$3+M43</f>
        <v>#N/A</v>
      </c>
      <c r="P43" s="366"/>
      <c r="Q43" s="357"/>
      <c r="R43" s="357"/>
      <c r="S43" s="357"/>
    </row>
    <row r="44" spans="1:19">
      <c r="A44" s="76"/>
      <c r="B44" s="76"/>
      <c r="C44" s="76"/>
      <c r="D44" s="80"/>
      <c r="E44" s="80"/>
      <c r="F44" s="80"/>
      <c r="G44" s="80"/>
      <c r="H44" s="80"/>
      <c r="I44" s="76"/>
      <c r="J44" s="76"/>
      <c r="K44" s="76"/>
      <c r="L44" s="76"/>
      <c r="M44" s="76"/>
      <c r="N44" s="76"/>
      <c r="O44" s="366"/>
      <c r="P44" s="366"/>
      <c r="Q44" s="366"/>
      <c r="R44" s="366"/>
      <c r="S44" s="366"/>
    </row>
    <row r="45" spans="1:19">
      <c r="A45" s="76"/>
      <c r="B45" s="76"/>
      <c r="C45" s="76"/>
      <c r="D45" s="80"/>
      <c r="E45" s="80"/>
      <c r="F45" s="80"/>
      <c r="G45" s="80"/>
      <c r="H45" s="80"/>
      <c r="I45" s="76"/>
      <c r="J45" s="76"/>
      <c r="K45" s="76"/>
      <c r="L45" s="76"/>
      <c r="M45" s="76"/>
      <c r="N45" s="76"/>
      <c r="O45" s="366"/>
      <c r="P45" s="366"/>
      <c r="Q45" s="366"/>
      <c r="R45" s="366"/>
      <c r="S45" s="366"/>
    </row>
    <row r="46" spans="1:19">
      <c r="A46" s="76"/>
      <c r="B46" s="76"/>
      <c r="C46" s="150" t="s">
        <v>25</v>
      </c>
      <c r="D46" s="370" t="s">
        <v>345</v>
      </c>
      <c r="E46" s="150" t="s">
        <v>173</v>
      </c>
      <c r="F46" s="150" t="s">
        <v>173</v>
      </c>
      <c r="G46" s="150" t="s">
        <v>25</v>
      </c>
      <c r="H46" s="80"/>
      <c r="I46" s="80"/>
      <c r="J46" s="80"/>
      <c r="K46" s="80"/>
      <c r="L46" s="357" t="s">
        <v>166</v>
      </c>
      <c r="M46" s="357" t="s">
        <v>167</v>
      </c>
      <c r="N46" s="357"/>
      <c r="O46" s="357" t="s">
        <v>168</v>
      </c>
      <c r="P46" s="357" t="s">
        <v>169</v>
      </c>
      <c r="Q46" s="357" t="s">
        <v>170</v>
      </c>
      <c r="R46" s="357" t="s">
        <v>171</v>
      </c>
      <c r="S46" s="357" t="s">
        <v>172</v>
      </c>
    </row>
    <row r="47" spans="1:19">
      <c r="A47" s="76"/>
      <c r="B47" s="76"/>
      <c r="C47" s="151" t="s">
        <v>174</v>
      </c>
      <c r="D47" s="360" t="s">
        <v>153</v>
      </c>
      <c r="E47" s="152" t="s">
        <v>27</v>
      </c>
      <c r="F47" s="152" t="s">
        <v>27</v>
      </c>
      <c r="G47" s="152" t="s">
        <v>13</v>
      </c>
      <c r="H47" s="80"/>
      <c r="I47" s="147" t="e">
        <f>F48</f>
        <v>#N/A</v>
      </c>
      <c r="J47" s="147" t="e">
        <f>F49</f>
        <v>#N/A</v>
      </c>
      <c r="K47" s="147" t="e">
        <f>F50</f>
        <v>#N/A</v>
      </c>
      <c r="L47" s="359" t="e">
        <f>IF(I47=0,0,1)+I47</f>
        <v>#N/A</v>
      </c>
      <c r="M47" s="359" t="e">
        <f>IF(J47=0,0,1)+J47</f>
        <v>#N/A</v>
      </c>
      <c r="N47" s="359"/>
      <c r="O47" s="359" t="e">
        <f>IF(K47=0,0,1)+K47</f>
        <v>#N/A</v>
      </c>
      <c r="P47" s="359" t="e">
        <f>IF(J47=0,0,(L47*J47)+L47)</f>
        <v>#N/A</v>
      </c>
      <c r="Q47" s="359" t="e">
        <f>IF(K47=0,0,(M47*K47)+M47)</f>
        <v>#N/A</v>
      </c>
      <c r="R47" s="359" t="e">
        <f>IF(I47=0,0,(O47*I47)+O47)</f>
        <v>#N/A</v>
      </c>
      <c r="S47" s="359" t="e">
        <f>IF(K47=0,0,(P47*K47)+P47)</f>
        <v>#N/A</v>
      </c>
    </row>
    <row r="48" spans="1:19" ht="16.149999999999999" thickBot="1">
      <c r="A48" s="76"/>
      <c r="B48" s="89" t="str">
        <f>game1</f>
        <v>Spurs</v>
      </c>
      <c r="C48" s="157" t="s">
        <v>175</v>
      </c>
      <c r="D48" s="361" t="e">
        <f>INDEX(Picks!F:F,MATCH(B48,Picks!E:E,0))</f>
        <v>#N/A</v>
      </c>
      <c r="E48" s="361" t="e">
        <f>INDEX(Picks!G:G,MATCH(B48,Picks!E:E,0))</f>
        <v>#N/A</v>
      </c>
      <c r="F48" s="361" t="e">
        <f>+((E48-1)*G48)</f>
        <v>#N/A</v>
      </c>
      <c r="G48" s="146">
        <v>0</v>
      </c>
      <c r="H48" s="80"/>
      <c r="I48" s="80"/>
      <c r="J48" s="80"/>
      <c r="K48" s="80"/>
      <c r="L48" s="80"/>
      <c r="M48" s="80"/>
      <c r="N48" s="80"/>
      <c r="O48" s="366"/>
      <c r="P48" s="366"/>
      <c r="Q48" s="366"/>
      <c r="R48" s="366"/>
      <c r="S48" s="366"/>
    </row>
    <row r="49" spans="1:19" ht="15.75">
      <c r="A49" s="76"/>
      <c r="B49" s="89" t="str">
        <f>game2</f>
        <v>Sunderland</v>
      </c>
      <c r="C49" s="157" t="s">
        <v>175</v>
      </c>
      <c r="D49" s="361" t="e">
        <f>INDEX(Picks!F:F,MATCH(B49,Picks!E:E,0))</f>
        <v>#N/A</v>
      </c>
      <c r="E49" s="361" t="e">
        <f>INDEX(Picks!G:G,MATCH(B49,Picks!E:E,0))</f>
        <v>#N/A</v>
      </c>
      <c r="F49" s="361" t="e">
        <f>+((E49-1)*G49)</f>
        <v>#N/A</v>
      </c>
      <c r="G49" s="146">
        <v>0</v>
      </c>
      <c r="H49" s="80"/>
      <c r="I49" s="80"/>
      <c r="J49" s="80"/>
      <c r="K49" s="80"/>
      <c r="L49" s="5" t="s">
        <v>13</v>
      </c>
      <c r="M49" s="5" t="s">
        <v>28</v>
      </c>
      <c r="N49" s="362"/>
      <c r="O49" s="363" t="s">
        <v>18</v>
      </c>
      <c r="P49" s="366"/>
      <c r="Q49" s="366"/>
      <c r="R49" s="366"/>
      <c r="S49" s="366"/>
    </row>
    <row r="50" spans="1:19" ht="16.149999999999999" thickBot="1">
      <c r="A50" s="76"/>
      <c r="B50" s="89" t="str">
        <f>game3</f>
        <v>Sheff U</v>
      </c>
      <c r="C50" s="153" t="s">
        <v>176</v>
      </c>
      <c r="D50" s="361" t="e">
        <f>INDEX(Picks!F:F,MATCH(B50,Picks!E:E,0))</f>
        <v>#N/A</v>
      </c>
      <c r="E50" s="361" t="e">
        <f>INDEX(Picks!G:G,MATCH(B50,Picks!E:E,0))</f>
        <v>#N/A</v>
      </c>
      <c r="F50" s="361" t="e">
        <f>+((E50-1)*G50)</f>
        <v>#N/A</v>
      </c>
      <c r="G50" s="146">
        <v>1</v>
      </c>
      <c r="H50" s="80"/>
      <c r="I50" s="80"/>
      <c r="J50" s="80"/>
      <c r="K50" s="80"/>
      <c r="L50" s="6">
        <f>SUM(G48:G50)</f>
        <v>1</v>
      </c>
      <c r="M50" s="7" t="e">
        <f>SUM(L47:S47)-7</f>
        <v>#N/A</v>
      </c>
      <c r="N50" s="364"/>
      <c r="O50" s="365" t="e">
        <f>$M$3+M50</f>
        <v>#N/A</v>
      </c>
      <c r="P50" s="366"/>
      <c r="Q50" s="366"/>
      <c r="R50" s="366"/>
      <c r="S50" s="366"/>
    </row>
  </sheetData>
  <pageMargins left="0.70866141732283472" right="0.70866141732283472" top="0.74803149606299213" bottom="0.74803149606299213" header="0.31496062992125984" footer="0.31496062992125984"/>
  <pageSetup paperSize="9" scale="10" orientation="portrait" horizontalDpi="360" verticalDpi="360"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9">
    <tabColor rgb="FFFFFF00"/>
    <pageSetUpPr fitToPage="1"/>
  </sheetPr>
  <dimension ref="A1:B76"/>
  <sheetViews>
    <sheetView zoomScaleNormal="100" workbookViewId="0"/>
  </sheetViews>
  <sheetFormatPr defaultColWidth="9.1328125" defaultRowHeight="15"/>
  <cols>
    <col min="1" max="1" width="9.1328125" style="206"/>
    <col min="2" max="2" width="118.73046875" style="206" customWidth="1"/>
    <col min="3" max="3" width="20.265625" style="206" customWidth="1"/>
    <col min="4" max="16384" width="9.1328125" style="206"/>
  </cols>
  <sheetData>
    <row r="1" spans="1:2">
      <c r="A1" s="338" t="s">
        <v>331</v>
      </c>
    </row>
    <row r="2" spans="1:2" ht="45">
      <c r="B2" s="205" t="s">
        <v>190</v>
      </c>
    </row>
    <row r="3" spans="1:2">
      <c r="B3" s="207"/>
    </row>
    <row r="4" spans="1:2" ht="60.4">
      <c r="B4" s="208" t="s">
        <v>191</v>
      </c>
    </row>
    <row r="5" spans="1:2">
      <c r="B5" s="207"/>
    </row>
    <row r="6" spans="1:2" ht="45">
      <c r="B6" s="205" t="s">
        <v>192</v>
      </c>
    </row>
    <row r="7" spans="1:2">
      <c r="B7" s="207"/>
    </row>
    <row r="8" spans="1:2" ht="60">
      <c r="B8" s="205" t="s">
        <v>193</v>
      </c>
    </row>
    <row r="9" spans="1:2">
      <c r="B9" s="207"/>
    </row>
    <row r="10" spans="1:2" ht="30">
      <c r="B10" s="209" t="s">
        <v>187</v>
      </c>
    </row>
    <row r="11" spans="1:2">
      <c r="B11" s="210"/>
    </row>
    <row r="12" spans="1:2">
      <c r="B12" s="210"/>
    </row>
    <row r="13" spans="1:2">
      <c r="B13" s="207"/>
    </row>
    <row r="14" spans="1:2">
      <c r="B14" s="207"/>
    </row>
    <row r="15" spans="1:2">
      <c r="B15" s="207"/>
    </row>
    <row r="16" spans="1:2">
      <c r="B16" s="207"/>
    </row>
    <row r="17" spans="2:2">
      <c r="B17" s="207"/>
    </row>
    <row r="18" spans="2:2">
      <c r="B18" s="207"/>
    </row>
    <row r="19" spans="2:2">
      <c r="B19" s="209" t="s">
        <v>188</v>
      </c>
    </row>
    <row r="20" spans="2:2">
      <c r="B20" s="210"/>
    </row>
    <row r="21" spans="2:2">
      <c r="B21" s="210"/>
    </row>
    <row r="22" spans="2:2">
      <c r="B22" s="207"/>
    </row>
    <row r="23" spans="2:2">
      <c r="B23" s="207"/>
    </row>
    <row r="24" spans="2:2">
      <c r="B24" s="207"/>
    </row>
    <row r="25" spans="2:2">
      <c r="B25" s="207"/>
    </row>
    <row r="26" spans="2:2">
      <c r="B26" s="207"/>
    </row>
    <row r="27" spans="2:2">
      <c r="B27" s="207"/>
    </row>
    <row r="28" spans="2:2">
      <c r="B28" s="209" t="s">
        <v>189</v>
      </c>
    </row>
    <row r="29" spans="2:2">
      <c r="B29" s="210"/>
    </row>
    <row r="30" spans="2:2">
      <c r="B30" s="210"/>
    </row>
    <row r="31" spans="2:2">
      <c r="B31" s="207"/>
    </row>
    <row r="32" spans="2:2">
      <c r="B32" s="207"/>
    </row>
    <row r="33" spans="2:2">
      <c r="B33" s="207"/>
    </row>
    <row r="34" spans="2:2">
      <c r="B34" s="207"/>
    </row>
    <row r="35" spans="2:2">
      <c r="B35" s="207"/>
    </row>
    <row r="36" spans="2:2">
      <c r="B36" s="207"/>
    </row>
    <row r="37" spans="2:2">
      <c r="B37" s="209" t="s">
        <v>194</v>
      </c>
    </row>
    <row r="38" spans="2:2">
      <c r="B38" s="211"/>
    </row>
    <row r="39" spans="2:2">
      <c r="B39" s="211"/>
    </row>
    <row r="40" spans="2:2">
      <c r="B40" s="207"/>
    </row>
    <row r="41" spans="2:2">
      <c r="B41" s="207"/>
    </row>
    <row r="42" spans="2:2">
      <c r="B42" s="207"/>
    </row>
    <row r="43" spans="2:2">
      <c r="B43" s="207"/>
    </row>
    <row r="44" spans="2:2">
      <c r="B44" s="207"/>
    </row>
    <row r="45" spans="2:2">
      <c r="B45" s="207"/>
    </row>
    <row r="46" spans="2:2" ht="46.15">
      <c r="B46" s="212" t="s">
        <v>195</v>
      </c>
    </row>
    <row r="47" spans="2:2">
      <c r="B47" s="207"/>
    </row>
    <row r="48" spans="2:2" ht="45">
      <c r="B48" s="205" t="s">
        <v>196</v>
      </c>
    </row>
    <row r="49" spans="2:2">
      <c r="B49" s="207"/>
    </row>
    <row r="50" spans="2:2" ht="45">
      <c r="B50" s="205" t="s">
        <v>197</v>
      </c>
    </row>
    <row r="51" spans="2:2">
      <c r="B51" s="207"/>
    </row>
    <row r="52" spans="2:2" ht="75">
      <c r="B52" s="205" t="s">
        <v>198</v>
      </c>
    </row>
    <row r="53" spans="2:2">
      <c r="B53" s="207"/>
    </row>
    <row r="54" spans="2:2" ht="45">
      <c r="B54" s="213" t="s">
        <v>207</v>
      </c>
    </row>
    <row r="55" spans="2:2">
      <c r="B55" s="207"/>
    </row>
    <row r="56" spans="2:2" ht="45">
      <c r="B56" s="205" t="s">
        <v>199</v>
      </c>
    </row>
    <row r="57" spans="2:2">
      <c r="B57" s="207"/>
    </row>
    <row r="58" spans="2:2" ht="30">
      <c r="B58" s="205" t="s">
        <v>200</v>
      </c>
    </row>
    <row r="59" spans="2:2">
      <c r="B59" s="207"/>
    </row>
    <row r="60" spans="2:2" ht="60">
      <c r="B60" s="205" t="s">
        <v>201</v>
      </c>
    </row>
    <row r="61" spans="2:2">
      <c r="B61" s="207"/>
    </row>
    <row r="62" spans="2:2" ht="60">
      <c r="B62" s="205" t="s">
        <v>202</v>
      </c>
    </row>
    <row r="63" spans="2:2">
      <c r="B63" s="207"/>
    </row>
    <row r="64" spans="2:2" ht="45">
      <c r="B64" s="205" t="s">
        <v>203</v>
      </c>
    </row>
    <row r="65" spans="2:2">
      <c r="B65" s="207"/>
    </row>
    <row r="66" spans="2:2" ht="30">
      <c r="B66" s="205" t="s">
        <v>204</v>
      </c>
    </row>
    <row r="67" spans="2:2">
      <c r="B67" s="207"/>
    </row>
    <row r="68" spans="2:2" ht="30">
      <c r="B68" s="205" t="s">
        <v>205</v>
      </c>
    </row>
    <row r="69" spans="2:2">
      <c r="B69" s="207"/>
    </row>
    <row r="70" spans="2:2" ht="60">
      <c r="B70" s="213" t="s">
        <v>208</v>
      </c>
    </row>
    <row r="71" spans="2:2">
      <c r="B71" s="207"/>
    </row>
    <row r="72" spans="2:2" ht="45">
      <c r="B72" s="205" t="s">
        <v>206</v>
      </c>
    </row>
    <row r="73" spans="2:2">
      <c r="B73" s="207"/>
    </row>
    <row r="74" spans="2:2" ht="30">
      <c r="B74" s="213" t="s">
        <v>209</v>
      </c>
    </row>
    <row r="75" spans="2:2">
      <c r="B75" s="207"/>
    </row>
    <row r="76" spans="2:2" ht="30">
      <c r="B76" s="213" t="s">
        <v>210</v>
      </c>
    </row>
  </sheetData>
  <hyperlinks>
    <hyperlink ref="B4" r:id="rId1" display="http://www.online-betting.me.uk/articles/patent-bet.html" xr:uid="{00000000-0004-0000-1300-000000000000}"/>
    <hyperlink ref="B46" r:id="rId2" display="http://www.chrisgriffinsays.co.uk/prediction-league/prediction-league-home/" xr:uid="{00000000-0004-0000-1300-000001000000}"/>
    <hyperlink ref="B54" r:id="rId3" display="http://www.chrisgriffinsays.co.uk/prediction-league/next-odds/" xr:uid="{00000000-0004-0000-1300-000002000000}"/>
    <hyperlink ref="B70" r:id="rId4" display="http://www.chrisgriffinsays.co.uk/prediction-league/prediction-league-diary/" xr:uid="{00000000-0004-0000-1300-000003000000}"/>
    <hyperlink ref="B74" r:id="rId5" display="http://www.chrisgriffinsays.co.uk/prediction-league/prediction-league-news/" xr:uid="{00000000-0004-0000-1300-000004000000}"/>
    <hyperlink ref="B76" r:id="rId6" display="http://eepurl.com/riHbD" xr:uid="{00000000-0004-0000-1300-000005000000}"/>
    <hyperlink ref="A1" location="Menu!A1" display="Menu!A1" xr:uid="{00000000-0004-0000-1300-000006000000}"/>
  </hyperlinks>
  <pageMargins left="0.70866141732283472" right="0.70866141732283472" top="0.74803149606299213" bottom="0.74803149606299213" header="0.31496062992125984" footer="0.31496062992125984"/>
  <pageSetup paperSize="9" scale="41" orientation="portrait" r:id="rId7"/>
  <rowBreaks count="1" manualBreakCount="1">
    <brk id="47" max="2" man="1"/>
  </rowBreaks>
  <drawing r:id="rId8"/>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22</vt:i4>
      </vt:variant>
      <vt:variant>
        <vt:lpstr>Named Ranges</vt:lpstr>
      </vt:variant>
      <vt:variant>
        <vt:i4>36</vt:i4>
      </vt:variant>
    </vt:vector>
  </HeadingPairs>
  <TitlesOfParts>
    <vt:vector size="58" baseType="lpstr">
      <vt:lpstr>Home</vt:lpstr>
      <vt:lpstr>Players</vt:lpstr>
      <vt:lpstr>Weekly</vt:lpstr>
      <vt:lpstr>Table</vt:lpstr>
      <vt:lpstr>Results</vt:lpstr>
      <vt:lpstr>Fixture</vt:lpstr>
      <vt:lpstr>Cup</vt:lpstr>
      <vt:lpstr>Match</vt:lpstr>
      <vt:lpstr>CupDraw</vt:lpstr>
      <vt:lpstr>Picks</vt:lpstr>
      <vt:lpstr>3of3</vt:lpstr>
      <vt:lpstr>TopPicks</vt:lpstr>
      <vt:lpstr>Images</vt:lpstr>
      <vt:lpstr>What-If</vt:lpstr>
      <vt:lpstr>Predictions</vt:lpstr>
      <vt:lpstr>Diary</vt:lpstr>
      <vt:lpstr>Odds</vt:lpstr>
      <vt:lpstr>PizzaRace</vt:lpstr>
      <vt:lpstr>Prizelist</vt:lpstr>
      <vt:lpstr>Prizes</vt:lpstr>
      <vt:lpstr>Perms</vt:lpstr>
      <vt:lpstr>FAQ</vt:lpstr>
      <vt:lpstr>choices</vt:lpstr>
      <vt:lpstr>CurrentSeason</vt:lpstr>
      <vt:lpstr>CurrentWeek</vt:lpstr>
      <vt:lpstr>entrants</vt:lpstr>
      <vt:lpstr>game1</vt:lpstr>
      <vt:lpstr>game2</vt:lpstr>
      <vt:lpstr>game3</vt:lpstr>
      <vt:lpstr>Inactive</vt:lpstr>
      <vt:lpstr>nonentrants</vt:lpstr>
      <vt:lpstr>pot</vt:lpstr>
      <vt:lpstr>PotA</vt:lpstr>
      <vt:lpstr>PotB</vt:lpstr>
      <vt:lpstr>PotC</vt:lpstr>
      <vt:lpstr>PotD</vt:lpstr>
      <vt:lpstr>Cup!Print_Area</vt:lpstr>
      <vt:lpstr>CupDraw!Print_Area</vt:lpstr>
      <vt:lpstr>Diary!Print_Area</vt:lpstr>
      <vt:lpstr>FAQ!Print_Area</vt:lpstr>
      <vt:lpstr>Fixture!Print_Area</vt:lpstr>
      <vt:lpstr>Images!Print_Area</vt:lpstr>
      <vt:lpstr>Odds!Print_Area</vt:lpstr>
      <vt:lpstr>Perms!Print_Area</vt:lpstr>
      <vt:lpstr>Picks!Print_Area</vt:lpstr>
      <vt:lpstr>Predictions!Print_Area</vt:lpstr>
      <vt:lpstr>Prizelist!Print_Area</vt:lpstr>
      <vt:lpstr>Results!Print_Area</vt:lpstr>
      <vt:lpstr>Table!Print_Area</vt:lpstr>
      <vt:lpstr>Weekly!Print_Area</vt:lpstr>
      <vt:lpstr>'What-If'!Print_Area</vt:lpstr>
      <vt:lpstr>SeasonTitle</vt:lpstr>
      <vt:lpstr>TableWeeklyActual</vt:lpstr>
      <vt:lpstr>TableWeeklyMax</vt:lpstr>
      <vt:lpstr>thisweekscore</vt:lpstr>
      <vt:lpstr>TopMaxScores</vt:lpstr>
      <vt:lpstr>TopScores</vt:lpstr>
      <vt:lpstr>totalscores</vt:lpstr>
    </vt:vector>
  </TitlesOfParts>
  <Company>J D Williams &amp; Co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Authorised User</dc:creator>
  <cp:lastModifiedBy>Chris Griffin</cp:lastModifiedBy>
  <cp:lastPrinted>2026-09-19T08:27:31Z</cp:lastPrinted>
  <dcterms:created xsi:type="dcterms:W3CDTF">2002-08-12T11:42:50Z</dcterms:created>
  <dcterms:modified xsi:type="dcterms:W3CDTF">2026-09-28T06:25:47Z</dcterms:modified>
</cp:coreProperties>
</file>